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5. 15 ก.พ. 66\"/>
    </mc:Choice>
  </mc:AlternateContent>
  <xr:revisionPtr revIDLastSave="0" documentId="13_ncr:1_{5F94243D-1D7A-45CA-97BA-41271D122817}" xr6:coauthVersionLast="37" xr6:coauthVersionMax="37" xr10:uidLastSave="{00000000-0000-0000-0000-000000000000}"/>
  <bookViews>
    <workbookView xWindow="0" yWindow="0" windowWidth="24000" windowHeight="9525" tabRatio="762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K826" i="21" s="1"/>
  <c r="J825" i="21"/>
  <c r="I825" i="21"/>
  <c r="J824" i="21"/>
  <c r="I824" i="21"/>
  <c r="J823" i="21"/>
  <c r="I823" i="21"/>
  <c r="K823" i="21" s="1"/>
  <c r="J822" i="21"/>
  <c r="I822" i="21"/>
  <c r="J821" i="21"/>
  <c r="I821" i="21"/>
  <c r="H820" i="21"/>
  <c r="P817" i="21"/>
  <c r="O817" i="21"/>
  <c r="P816" i="21"/>
  <c r="O816" i="21"/>
  <c r="P815" i="21"/>
  <c r="N815" i="21"/>
  <c r="M815" i="21"/>
  <c r="L815" i="21"/>
  <c r="O815" i="21" s="1"/>
  <c r="P810" i="21"/>
  <c r="O810" i="21"/>
  <c r="N810" i="21"/>
  <c r="N807" i="21" s="1"/>
  <c r="P809" i="21"/>
  <c r="O809" i="21"/>
  <c r="P808" i="21"/>
  <c r="N808" i="21"/>
  <c r="M808" i="21"/>
  <c r="L808" i="21"/>
  <c r="O808" i="21" s="1"/>
  <c r="O807" i="21"/>
  <c r="M807" i="21"/>
  <c r="L807" i="21"/>
  <c r="P806" i="21"/>
  <c r="N806" i="21"/>
  <c r="M806" i="21"/>
  <c r="L806" i="2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P796" i="21"/>
  <c r="N796" i="21"/>
  <c r="M796" i="21"/>
  <c r="L796" i="21"/>
  <c r="O796" i="21" s="1"/>
  <c r="N795" i="21"/>
  <c r="P791" i="21"/>
  <c r="N791" i="21"/>
  <c r="L791" i="21"/>
  <c r="L788" i="21" s="1"/>
  <c r="P790" i="21"/>
  <c r="O790" i="21"/>
  <c r="P789" i="21"/>
  <c r="N789" i="21"/>
  <c r="M789" i="21"/>
  <c r="L789" i="21"/>
  <c r="O789" i="21" s="1"/>
  <c r="M788" i="21"/>
  <c r="P788" i="21" s="1"/>
  <c r="P787" i="21"/>
  <c r="N787" i="21"/>
  <c r="M787" i="21"/>
  <c r="L787" i="21"/>
  <c r="O787" i="21" s="1"/>
  <c r="P782" i="21"/>
  <c r="O782" i="21"/>
  <c r="P781" i="21"/>
  <c r="O781" i="21"/>
  <c r="O780" i="21"/>
  <c r="N780" i="21"/>
  <c r="M780" i="21"/>
  <c r="P780" i="21" s="1"/>
  <c r="L780" i="21"/>
  <c r="P775" i="21"/>
  <c r="O775" i="21"/>
  <c r="N775" i="21"/>
  <c r="P774" i="21"/>
  <c r="O774" i="21"/>
  <c r="O773" i="21"/>
  <c r="M773" i="21"/>
  <c r="P773" i="21" s="1"/>
  <c r="L773" i="21"/>
  <c r="P772" i="21"/>
  <c r="M772" i="21"/>
  <c r="L772" i="21"/>
  <c r="O771" i="21"/>
  <c r="N771" i="21"/>
  <c r="M771" i="21"/>
  <c r="P771" i="21" s="1"/>
  <c r="L771" i="21"/>
  <c r="K769" i="21"/>
  <c r="J769" i="21"/>
  <c r="P766" i="21"/>
  <c r="O766" i="21"/>
  <c r="P765" i="21"/>
  <c r="O765" i="21"/>
  <c r="O764" i="21"/>
  <c r="N764" i="21"/>
  <c r="M764" i="21"/>
  <c r="P764" i="21" s="1"/>
  <c r="L764" i="21"/>
  <c r="P759" i="21"/>
  <c r="O759" i="21"/>
  <c r="N759" i="21"/>
  <c r="P758" i="21"/>
  <c r="O758" i="21"/>
  <c r="O757" i="21"/>
  <c r="M757" i="21"/>
  <c r="P757" i="21" s="1"/>
  <c r="L757" i="21"/>
  <c r="P756" i="21"/>
  <c r="M756" i="21"/>
  <c r="L756" i="21"/>
  <c r="O755" i="21"/>
  <c r="N755" i="21"/>
  <c r="M755" i="21"/>
  <c r="P755" i="21" s="1"/>
  <c r="L755" i="21"/>
  <c r="K753" i="21"/>
  <c r="J753" i="21"/>
  <c r="P749" i="21"/>
  <c r="O749" i="21"/>
  <c r="P748" i="21"/>
  <c r="O748" i="21"/>
  <c r="O747" i="21"/>
  <c r="N747" i="21"/>
  <c r="M747" i="21"/>
  <c r="P747" i="21" s="1"/>
  <c r="L747" i="21"/>
  <c r="P742" i="21"/>
  <c r="O742" i="21"/>
  <c r="N742" i="21"/>
  <c r="P741" i="21"/>
  <c r="O741" i="21"/>
  <c r="O740" i="21"/>
  <c r="M740" i="21"/>
  <c r="P740" i="21" s="1"/>
  <c r="L740" i="21"/>
  <c r="P739" i="21"/>
  <c r="M739" i="21"/>
  <c r="L739" i="21"/>
  <c r="O738" i="21"/>
  <c r="N738" i="21"/>
  <c r="M738" i="21"/>
  <c r="P738" i="21" s="1"/>
  <c r="L738" i="2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O695" i="21"/>
  <c r="N695" i="21"/>
  <c r="M695" i="21"/>
  <c r="P695" i="21" s="1"/>
  <c r="L695" i="21"/>
  <c r="P690" i="21"/>
  <c r="N690" i="21"/>
  <c r="L690" i="21"/>
  <c r="O690" i="21" s="1"/>
  <c r="P688" i="21"/>
  <c r="M688" i="21"/>
  <c r="M687" i="21"/>
  <c r="P687" i="21" s="1"/>
  <c r="P686" i="21"/>
  <c r="N686" i="21"/>
  <c r="M686" i="21"/>
  <c r="L686" i="21"/>
  <c r="O686" i="21" s="1"/>
  <c r="J679" i="21"/>
  <c r="J678" i="21"/>
  <c r="I678" i="21"/>
  <c r="K678" i="21" s="1"/>
  <c r="J675" i="21"/>
  <c r="I671" i="21"/>
  <c r="K671" i="21" s="1"/>
  <c r="I670" i="21"/>
  <c r="K670" i="21" s="1"/>
  <c r="J669" i="21"/>
  <c r="J654" i="21" s="1"/>
  <c r="I669" i="21"/>
  <c r="K673" i="21" s="1"/>
  <c r="P667" i="21"/>
  <c r="O667" i="21"/>
  <c r="P666" i="21"/>
  <c r="O666" i="21"/>
  <c r="P665" i="21"/>
  <c r="N665" i="21"/>
  <c r="M665" i="21"/>
  <c r="L665" i="21"/>
  <c r="O665" i="21" s="1"/>
  <c r="P660" i="21"/>
  <c r="N660" i="21"/>
  <c r="L660" i="21"/>
  <c r="L658" i="21" s="1"/>
  <c r="O658" i="21" s="1"/>
  <c r="P659" i="21"/>
  <c r="O659" i="21"/>
  <c r="N658" i="21"/>
  <c r="M658" i="21"/>
  <c r="P658" i="21" s="1"/>
  <c r="P657" i="21"/>
  <c r="N657" i="21"/>
  <c r="N655" i="21" s="1"/>
  <c r="M657" i="21"/>
  <c r="O656" i="21"/>
  <c r="N656" i="21"/>
  <c r="M656" i="21"/>
  <c r="L656" i="21"/>
  <c r="K652" i="21"/>
  <c r="J652" i="21"/>
  <c r="J651" i="21"/>
  <c r="J628" i="21" s="1"/>
  <c r="I651" i="21"/>
  <c r="I628" i="21" s="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N638" i="21"/>
  <c r="P634" i="21"/>
  <c r="N634" i="21"/>
  <c r="L634" i="21"/>
  <c r="L632" i="21" s="1"/>
  <c r="O632" i="21" s="1"/>
  <c r="P633" i="21"/>
  <c r="O633" i="21"/>
  <c r="P632" i="21"/>
  <c r="N632" i="21"/>
  <c r="M632" i="21"/>
  <c r="M631" i="21"/>
  <c r="P631" i="21" s="1"/>
  <c r="P630" i="21"/>
  <c r="N630" i="21"/>
  <c r="M630" i="21"/>
  <c r="L630" i="21"/>
  <c r="O630" i="21" s="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603" i="21"/>
  <c r="J596" i="21"/>
  <c r="J595" i="21"/>
  <c r="J593" i="21" s="1"/>
  <c r="J592" i="21" s="1"/>
  <c r="J594" i="21"/>
  <c r="I594" i="21"/>
  <c r="I593" i="21"/>
  <c r="I592" i="21" s="1"/>
  <c r="J583" i="21"/>
  <c r="J577" i="21" s="1"/>
  <c r="J582" i="21"/>
  <c r="I577" i="21"/>
  <c r="K577" i="21" s="1"/>
  <c r="J576" i="21"/>
  <c r="J559" i="21" s="1"/>
  <c r="J543" i="21" s="1"/>
  <c r="I576" i="21"/>
  <c r="K576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P557" i="21"/>
  <c r="L557" i="21"/>
  <c r="O557" i="21" s="1"/>
  <c r="P556" i="21"/>
  <c r="O556" i="21"/>
  <c r="P555" i="21"/>
  <c r="N555" i="21"/>
  <c r="M555" i="21"/>
  <c r="M545" i="21" s="1"/>
  <c r="P545" i="21" s="1"/>
  <c r="N553" i="21"/>
  <c r="P549" i="21"/>
  <c r="N549" i="21"/>
  <c r="N546" i="21" s="1"/>
  <c r="L549" i="21"/>
  <c r="O549" i="21" s="1"/>
  <c r="P548" i="21"/>
  <c r="O548" i="21"/>
  <c r="P547" i="21"/>
  <c r="N547" i="21"/>
  <c r="M547" i="21"/>
  <c r="L547" i="21"/>
  <c r="O547" i="21" s="1"/>
  <c r="M546" i="21"/>
  <c r="P546" i="21" s="1"/>
  <c r="N545" i="21"/>
  <c r="N544" i="21" s="1"/>
  <c r="L545" i="21"/>
  <c r="M544" i="21"/>
  <c r="P544" i="21" s="1"/>
  <c r="I542" i="21"/>
  <c r="K542" i="21" s="1"/>
  <c r="I541" i="21"/>
  <c r="K541" i="21" s="1"/>
  <c r="I540" i="21"/>
  <c r="K540" i="21" s="1"/>
  <c r="I539" i="21"/>
  <c r="I538" i="21"/>
  <c r="K538" i="21" s="1"/>
  <c r="I537" i="21"/>
  <c r="K537" i="21" s="1"/>
  <c r="P535" i="21"/>
  <c r="L535" i="21"/>
  <c r="O535" i="21" s="1"/>
  <c r="P534" i="21"/>
  <c r="O534" i="21"/>
  <c r="N533" i="21"/>
  <c r="M533" i="21"/>
  <c r="P533" i="21" s="1"/>
  <c r="P528" i="21"/>
  <c r="N528" i="21"/>
  <c r="N525" i="21" s="1"/>
  <c r="L528" i="21"/>
  <c r="O528" i="21" s="1"/>
  <c r="P527" i="21"/>
  <c r="O527" i="21"/>
  <c r="P526" i="21"/>
  <c r="M526" i="21"/>
  <c r="M525" i="21"/>
  <c r="P524" i="21"/>
  <c r="N524" i="21"/>
  <c r="M524" i="21"/>
  <c r="L524" i="21"/>
  <c r="K517" i="21"/>
  <c r="J517" i="21"/>
  <c r="J501" i="21" s="1"/>
  <c r="K516" i="21"/>
  <c r="P514" i="21"/>
  <c r="O514" i="21"/>
  <c r="P513" i="21"/>
  <c r="O513" i="21"/>
  <c r="P512" i="21"/>
  <c r="N512" i="21"/>
  <c r="M512" i="21"/>
  <c r="L512" i="21"/>
  <c r="O512" i="21" s="1"/>
  <c r="P507" i="21"/>
  <c r="O507" i="21"/>
  <c r="N507" i="21"/>
  <c r="P506" i="21"/>
  <c r="O506" i="21"/>
  <c r="P505" i="21"/>
  <c r="N505" i="21"/>
  <c r="M505" i="21"/>
  <c r="L505" i="21"/>
  <c r="O505" i="21" s="1"/>
  <c r="O504" i="21"/>
  <c r="N504" i="21"/>
  <c r="M504" i="21"/>
  <c r="P504" i="21" s="1"/>
  <c r="L504" i="21"/>
  <c r="P503" i="21"/>
  <c r="N503" i="21"/>
  <c r="N502" i="21" s="1"/>
  <c r="M503" i="21"/>
  <c r="L503" i="21"/>
  <c r="O503" i="21" s="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P478" i="21"/>
  <c r="O478" i="21"/>
  <c r="N477" i="21"/>
  <c r="M477" i="21"/>
  <c r="P477" i="21" s="1"/>
  <c r="N476" i="21"/>
  <c r="N472" i="21" s="1"/>
  <c r="P472" i="21"/>
  <c r="L472" i="21"/>
  <c r="P471" i="21"/>
  <c r="O471" i="21"/>
  <c r="M470" i="21"/>
  <c r="P470" i="21" s="1"/>
  <c r="P469" i="21"/>
  <c r="M469" i="21"/>
  <c r="O468" i="21"/>
  <c r="N468" i="21"/>
  <c r="M468" i="21"/>
  <c r="P468" i="21" s="1"/>
  <c r="L468" i="21"/>
  <c r="J466" i="21"/>
  <c r="I466" i="21"/>
  <c r="K466" i="21" s="1"/>
  <c r="J465" i="21"/>
  <c r="I465" i="21"/>
  <c r="K465" i="21" s="1"/>
  <c r="I464" i="21"/>
  <c r="I463" i="21"/>
  <c r="I462" i="21"/>
  <c r="K462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 s="1"/>
  <c r="N447" i="21" s="1"/>
  <c r="P449" i="21"/>
  <c r="L449" i="21"/>
  <c r="L447" i="21" s="1"/>
  <c r="O447" i="21" s="1"/>
  <c r="P448" i="21"/>
  <c r="O448" i="21"/>
  <c r="M447" i="21"/>
  <c r="P447" i="21" s="1"/>
  <c r="P446" i="21"/>
  <c r="N446" i="21"/>
  <c r="M446" i="21"/>
  <c r="O445" i="21"/>
  <c r="N445" i="21"/>
  <c r="M445" i="21"/>
  <c r="L445" i="21"/>
  <c r="N444" i="2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I433" i="21" s="1"/>
  <c r="J434" i="21"/>
  <c r="J418" i="21" s="1"/>
  <c r="P431" i="21"/>
  <c r="L431" i="21"/>
  <c r="O431" i="21" s="1"/>
  <c r="P430" i="21"/>
  <c r="O430" i="21"/>
  <c r="P429" i="21"/>
  <c r="N429" i="21"/>
  <c r="M429" i="21"/>
  <c r="L429" i="21"/>
  <c r="O429" i="21" s="1"/>
  <c r="N428" i="21"/>
  <c r="P424" i="21"/>
  <c r="N424" i="21"/>
  <c r="L424" i="21"/>
  <c r="L422" i="21" s="1"/>
  <c r="P423" i="21"/>
  <c r="O423" i="21"/>
  <c r="P422" i="21"/>
  <c r="M422" i="21"/>
  <c r="M421" i="21"/>
  <c r="P421" i="21" s="1"/>
  <c r="P420" i="21"/>
  <c r="N420" i="21"/>
  <c r="M420" i="21"/>
  <c r="L420" i="21"/>
  <c r="M419" i="21"/>
  <c r="K413" i="21"/>
  <c r="K412" i="21"/>
  <c r="N410" i="21"/>
  <c r="M410" i="21"/>
  <c r="L410" i="21"/>
  <c r="O410" i="21" s="1"/>
  <c r="P409" i="21"/>
  <c r="O409" i="21"/>
  <c r="N407" i="21"/>
  <c r="N405" i="21" s="1"/>
  <c r="M407" i="21"/>
  <c r="M405" i="21" s="1"/>
  <c r="P405" i="21" s="1"/>
  <c r="L407" i="21"/>
  <c r="O407" i="21" s="1"/>
  <c r="P406" i="21"/>
  <c r="O406" i="21"/>
  <c r="P403" i="21"/>
  <c r="O403" i="21"/>
  <c r="N403" i="21"/>
  <c r="M403" i="21"/>
  <c r="L403" i="21"/>
  <c r="J401" i="21"/>
  <c r="I401" i="21"/>
  <c r="K401" i="21" s="1"/>
  <c r="K400" i="21"/>
  <c r="K399" i="21"/>
  <c r="N397" i="21"/>
  <c r="N395" i="21" s="1"/>
  <c r="M397" i="21"/>
  <c r="L397" i="21"/>
  <c r="O397" i="21" s="1"/>
  <c r="P396" i="21"/>
  <c r="O396" i="21"/>
  <c r="N394" i="21"/>
  <c r="M394" i="21"/>
  <c r="P394" i="21" s="1"/>
  <c r="L394" i="21"/>
  <c r="P393" i="21"/>
  <c r="O393" i="21"/>
  <c r="P390" i="21"/>
  <c r="N390" i="21"/>
  <c r="M390" i="21"/>
  <c r="L390" i="21"/>
  <c r="O390" i="21" s="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N351" i="21" s="1"/>
  <c r="M353" i="21"/>
  <c r="L353" i="21"/>
  <c r="P352" i="21"/>
  <c r="O352" i="21"/>
  <c r="N350" i="21"/>
  <c r="M350" i="21"/>
  <c r="M348" i="21" s="1"/>
  <c r="L350" i="21"/>
  <c r="P349" i="21"/>
  <c r="O349" i="21"/>
  <c r="N346" i="21"/>
  <c r="M346" i="21"/>
  <c r="L346" i="21"/>
  <c r="O346" i="21" s="1"/>
  <c r="J343" i="21"/>
  <c r="J342" i="21"/>
  <c r="J341" i="21"/>
  <c r="J340" i="21"/>
  <c r="I340" i="21"/>
  <c r="J338" i="21"/>
  <c r="I338" i="21"/>
  <c r="N336" i="21"/>
  <c r="N334" i="21" s="1"/>
  <c r="M336" i="21"/>
  <c r="P336" i="21" s="1"/>
  <c r="L336" i="21"/>
  <c r="O336" i="21" s="1"/>
  <c r="P335" i="21"/>
  <c r="O335" i="21"/>
  <c r="N333" i="21"/>
  <c r="M333" i="21"/>
  <c r="M331" i="21" s="1"/>
  <c r="L333" i="21"/>
  <c r="P332" i="21"/>
  <c r="O332" i="21"/>
  <c r="N329" i="21"/>
  <c r="M329" i="21"/>
  <c r="L329" i="21"/>
  <c r="O329" i="21" s="1"/>
  <c r="I327" i="21"/>
  <c r="I325" i="21"/>
  <c r="K325" i="21" s="1"/>
  <c r="N323" i="21"/>
  <c r="M323" i="21"/>
  <c r="M321" i="21" s="1"/>
  <c r="P321" i="21" s="1"/>
  <c r="L323" i="21"/>
  <c r="O323" i="21" s="1"/>
  <c r="P322" i="21"/>
  <c r="O322" i="21"/>
  <c r="N320" i="21"/>
  <c r="N318" i="21" s="1"/>
  <c r="M320" i="21"/>
  <c r="L320" i="21"/>
  <c r="O320" i="21" s="1"/>
  <c r="P319" i="21"/>
  <c r="O319" i="21"/>
  <c r="O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I297" i="21" s="1"/>
  <c r="N306" i="21"/>
  <c r="N304" i="21" s="1"/>
  <c r="M306" i="21"/>
  <c r="P306" i="21" s="1"/>
  <c r="L306" i="21"/>
  <c r="P305" i="21"/>
  <c r="O305" i="21"/>
  <c r="N303" i="21"/>
  <c r="M303" i="21"/>
  <c r="M301" i="21" s="1"/>
  <c r="L303" i="21"/>
  <c r="P302" i="21"/>
  <c r="O302" i="21"/>
  <c r="O299" i="21"/>
  <c r="N299" i="21"/>
  <c r="M299" i="2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87" i="21"/>
  <c r="K287" i="21" s="1"/>
  <c r="N285" i="21"/>
  <c r="N283" i="21" s="1"/>
  <c r="M285" i="21"/>
  <c r="L285" i="21"/>
  <c r="O285" i="21" s="1"/>
  <c r="P284" i="21"/>
  <c r="O284" i="21"/>
  <c r="N282" i="21"/>
  <c r="M282" i="21"/>
  <c r="L282" i="21"/>
  <c r="P281" i="21"/>
  <c r="O281" i="21"/>
  <c r="P278" i="21"/>
  <c r="N278" i="21"/>
  <c r="M278" i="21"/>
  <c r="L278" i="21"/>
  <c r="J276" i="21"/>
  <c r="I271" i="21"/>
  <c r="I260" i="21" s="1"/>
  <c r="N269" i="21"/>
  <c r="N267" i="21" s="1"/>
  <c r="M269" i="21"/>
  <c r="P269" i="21" s="1"/>
  <c r="L269" i="21"/>
  <c r="P268" i="21"/>
  <c r="O268" i="21"/>
  <c r="N266" i="21"/>
  <c r="N264" i="21" s="1"/>
  <c r="M266" i="21"/>
  <c r="M264" i="21" s="1"/>
  <c r="L266" i="21"/>
  <c r="P265" i="21"/>
  <c r="O265" i="21"/>
  <c r="O262" i="21"/>
  <c r="N262" i="21"/>
  <c r="M262" i="21"/>
  <c r="L262" i="21"/>
  <c r="J260" i="21"/>
  <c r="K258" i="21"/>
  <c r="K257" i="21"/>
  <c r="I255" i="21"/>
  <c r="I248" i="21" s="1"/>
  <c r="K248" i="21" s="1"/>
  <c r="L253" i="21"/>
  <c r="L252" i="21"/>
  <c r="L251" i="21"/>
  <c r="L250" i="21"/>
  <c r="P249" i="21"/>
  <c r="N249" i="21"/>
  <c r="N227" i="21" s="1"/>
  <c r="J248" i="21"/>
  <c r="K247" i="21"/>
  <c r="K246" i="21"/>
  <c r="I244" i="21"/>
  <c r="L242" i="21"/>
  <c r="L241" i="21"/>
  <c r="L240" i="21"/>
  <c r="L239" i="21"/>
  <c r="P238" i="21"/>
  <c r="N238" i="21"/>
  <c r="J237" i="21"/>
  <c r="K236" i="21"/>
  <c r="J236" i="21"/>
  <c r="I236" i="21"/>
  <c r="K235" i="21"/>
  <c r="J235" i="21"/>
  <c r="I235" i="21"/>
  <c r="J233" i="21"/>
  <c r="N231" i="21"/>
  <c r="N230" i="21"/>
  <c r="N229" i="21"/>
  <c r="N228" i="21"/>
  <c r="J226" i="21"/>
  <c r="I225" i="21"/>
  <c r="K225" i="21" s="1"/>
  <c r="I224" i="21"/>
  <c r="K224" i="21" s="1"/>
  <c r="I223" i="21"/>
  <c r="K223" i="21" s="1"/>
  <c r="L220" i="21"/>
  <c r="L219" i="21"/>
  <c r="L218" i="21"/>
  <c r="P217" i="21"/>
  <c r="N217" i="21"/>
  <c r="J216" i="21"/>
  <c r="I215" i="21"/>
  <c r="K215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I190" i="21" s="1"/>
  <c r="K190" i="21" s="1"/>
  <c r="P191" i="21"/>
  <c r="L191" i="21"/>
  <c r="O191" i="21" s="1"/>
  <c r="J190" i="21"/>
  <c r="N189" i="21"/>
  <c r="N187" i="21" s="1"/>
  <c r="M189" i="21"/>
  <c r="P189" i="21" s="1"/>
  <c r="L189" i="21"/>
  <c r="P188" i="21"/>
  <c r="O188" i="21"/>
  <c r="N186" i="21"/>
  <c r="M186" i="21"/>
  <c r="M184" i="21" s="1"/>
  <c r="L186" i="21"/>
  <c r="P185" i="21"/>
  <c r="O185" i="21"/>
  <c r="O182" i="21"/>
  <c r="N182" i="21"/>
  <c r="M182" i="21"/>
  <c r="L182" i="21"/>
  <c r="J180" i="21"/>
  <c r="J177" i="21"/>
  <c r="I176" i="21"/>
  <c r="J174" i="21"/>
  <c r="N173" i="21"/>
  <c r="N171" i="21" s="1"/>
  <c r="M173" i="21"/>
  <c r="P173" i="21" s="1"/>
  <c r="L173" i="21"/>
  <c r="P172" i="21"/>
  <c r="O172" i="21"/>
  <c r="N170" i="21"/>
  <c r="N168" i="21" s="1"/>
  <c r="M170" i="21"/>
  <c r="M168" i="21" s="1"/>
  <c r="L170" i="21"/>
  <c r="P169" i="21"/>
  <c r="O169" i="21"/>
  <c r="O166" i="21"/>
  <c r="N166" i="21"/>
  <c r="M166" i="21"/>
  <c r="L166" i="21"/>
  <c r="J164" i="21"/>
  <c r="I159" i="21"/>
  <c r="I148" i="21" s="1"/>
  <c r="K148" i="21" s="1"/>
  <c r="N157" i="21"/>
  <c r="N155" i="21" s="1"/>
  <c r="M157" i="21"/>
  <c r="P157" i="21" s="1"/>
  <c r="L157" i="21"/>
  <c r="P156" i="21"/>
  <c r="O156" i="21"/>
  <c r="N154" i="21"/>
  <c r="N152" i="21" s="1"/>
  <c r="M154" i="21"/>
  <c r="P154" i="21" s="1"/>
  <c r="L154" i="21"/>
  <c r="P153" i="21"/>
  <c r="O153" i="21"/>
  <c r="O150" i="21"/>
  <c r="N150" i="21"/>
  <c r="M150" i="21"/>
  <c r="L150" i="21"/>
  <c r="J148" i="21"/>
  <c r="I146" i="21"/>
  <c r="K146" i="21" s="1"/>
  <c r="I145" i="21"/>
  <c r="I144" i="21"/>
  <c r="K144" i="21" s="1"/>
  <c r="N140" i="21"/>
  <c r="N138" i="21" s="1"/>
  <c r="M140" i="21"/>
  <c r="L140" i="21"/>
  <c r="O140" i="21" s="1"/>
  <c r="P139" i="21"/>
  <c r="O139" i="21"/>
  <c r="N137" i="21"/>
  <c r="M137" i="21"/>
  <c r="L137" i="21"/>
  <c r="O137" i="21" s="1"/>
  <c r="P136" i="21"/>
  <c r="O136" i="21"/>
  <c r="P133" i="21"/>
  <c r="N133" i="21"/>
  <c r="M133" i="21"/>
  <c r="L133" i="21"/>
  <c r="J130" i="21"/>
  <c r="I130" i="21"/>
  <c r="K130" i="21" s="1"/>
  <c r="N127" i="21"/>
  <c r="N125" i="21" s="1"/>
  <c r="M127" i="21"/>
  <c r="P127" i="21" s="1"/>
  <c r="L127" i="21"/>
  <c r="P126" i="21"/>
  <c r="O126" i="21"/>
  <c r="N124" i="21"/>
  <c r="M124" i="21"/>
  <c r="P124" i="21" s="1"/>
  <c r="L124" i="21"/>
  <c r="P123" i="21"/>
  <c r="O123" i="21"/>
  <c r="O120" i="21"/>
  <c r="N120" i="21"/>
  <c r="M120" i="21"/>
  <c r="L120" i="21"/>
  <c r="I116" i="21"/>
  <c r="K116" i="21" s="1"/>
  <c r="I115" i="2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I99" i="21"/>
  <c r="K99" i="21" s="1"/>
  <c r="J98" i="21"/>
  <c r="I98" i="21"/>
  <c r="I86" i="21" s="1"/>
  <c r="N96" i="21"/>
  <c r="N94" i="21" s="1"/>
  <c r="M96" i="21"/>
  <c r="L96" i="21"/>
  <c r="O96" i="21" s="1"/>
  <c r="P95" i="21"/>
  <c r="O95" i="21"/>
  <c r="N93" i="21"/>
  <c r="M93" i="21"/>
  <c r="L93" i="21"/>
  <c r="L91" i="21" s="1"/>
  <c r="P92" i="21"/>
  <c r="O92" i="21"/>
  <c r="N89" i="21"/>
  <c r="M89" i="21"/>
  <c r="P89" i="21" s="1"/>
  <c r="L89" i="21"/>
  <c r="J87" i="21"/>
  <c r="I84" i="21"/>
  <c r="K84" i="21" s="1"/>
  <c r="I83" i="21"/>
  <c r="K83" i="21" s="1"/>
  <c r="I82" i="21"/>
  <c r="I81" i="21"/>
  <c r="K81" i="21" s="1"/>
  <c r="I80" i="21"/>
  <c r="K80" i="21" s="1"/>
  <c r="I79" i="21"/>
  <c r="K79" i="21" s="1"/>
  <c r="I78" i="21"/>
  <c r="K78" i="21" s="1"/>
  <c r="J77" i="21"/>
  <c r="J76" i="21"/>
  <c r="J64" i="21" s="1"/>
  <c r="N74" i="21"/>
  <c r="N72" i="21" s="1"/>
  <c r="M74" i="21"/>
  <c r="P74" i="21" s="1"/>
  <c r="L74" i="21"/>
  <c r="P73" i="21"/>
  <c r="O73" i="21"/>
  <c r="N71" i="21"/>
  <c r="M71" i="21"/>
  <c r="M69" i="21" s="1"/>
  <c r="L71" i="21"/>
  <c r="P70" i="21"/>
  <c r="O70" i="21"/>
  <c r="P67" i="21"/>
  <c r="N67" i="21"/>
  <c r="M67" i="21"/>
  <c r="L67" i="21"/>
  <c r="O67" i="21" s="1"/>
  <c r="J65" i="21"/>
  <c r="N61" i="21"/>
  <c r="N59" i="21" s="1"/>
  <c r="M61" i="21"/>
  <c r="M59" i="21" s="1"/>
  <c r="L61" i="21"/>
  <c r="P60" i="21"/>
  <c r="O60" i="21"/>
  <c r="N58" i="21"/>
  <c r="N56" i="21" s="1"/>
  <c r="M58" i="21"/>
  <c r="M56" i="21" s="1"/>
  <c r="L58" i="21"/>
  <c r="L56" i="21" s="1"/>
  <c r="P57" i="21"/>
  <c r="O57" i="21"/>
  <c r="O54" i="21"/>
  <c r="N54" i="21"/>
  <c r="M54" i="21"/>
  <c r="P54" i="21" s="1"/>
  <c r="L54" i="21"/>
  <c r="N49" i="21"/>
  <c r="M49" i="21"/>
  <c r="P49" i="21" s="1"/>
  <c r="L49" i="21"/>
  <c r="P48" i="21"/>
  <c r="O48" i="21"/>
  <c r="N46" i="21"/>
  <c r="N44" i="21" s="1"/>
  <c r="M46" i="21"/>
  <c r="L46" i="21"/>
  <c r="P45" i="21"/>
  <c r="O45" i="21"/>
  <c r="P42" i="21"/>
  <c r="N42" i="21"/>
  <c r="M42" i="21"/>
  <c r="L42" i="21"/>
  <c r="O42" i="21" s="1"/>
  <c r="N36" i="21"/>
  <c r="M36" i="21"/>
  <c r="P36" i="21" s="1"/>
  <c r="N35" i="21"/>
  <c r="M35" i="21"/>
  <c r="L35" i="21"/>
  <c r="O35" i="21" s="1"/>
  <c r="P33" i="21"/>
  <c r="M33" i="21"/>
  <c r="P32" i="21"/>
  <c r="O32" i="21"/>
  <c r="N32" i="21"/>
  <c r="M32" i="21"/>
  <c r="L32" i="21"/>
  <c r="P31" i="21"/>
  <c r="M31" i="21"/>
  <c r="M30" i="21"/>
  <c r="P30" i="21" s="1"/>
  <c r="N29" i="21"/>
  <c r="L29" i="21"/>
  <c r="O29" i="21" s="1"/>
  <c r="P25" i="21"/>
  <c r="O25" i="21"/>
  <c r="N25" i="21"/>
  <c r="M25" i="21"/>
  <c r="L25" i="21"/>
  <c r="N22" i="21"/>
  <c r="N19" i="21" s="1"/>
  <c r="M22" i="21"/>
  <c r="L22" i="21"/>
  <c r="O22" i="21" s="1"/>
  <c r="N15" i="21"/>
  <c r="L15" i="21"/>
  <c r="O15" i="21" s="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O815" i="20"/>
  <c r="N815" i="20"/>
  <c r="M815" i="20"/>
  <c r="L815" i="20"/>
  <c r="P810" i="20"/>
  <c r="O810" i="20"/>
  <c r="N810" i="20"/>
  <c r="P809" i="20"/>
  <c r="O809" i="20"/>
  <c r="O808" i="20"/>
  <c r="N808" i="20"/>
  <c r="M808" i="20"/>
  <c r="P808" i="20" s="1"/>
  <c r="L808" i="20"/>
  <c r="N807" i="20"/>
  <c r="N805" i="20" s="1"/>
  <c r="M807" i="20"/>
  <c r="P807" i="20" s="1"/>
  <c r="L807" i="20"/>
  <c r="O807" i="20" s="1"/>
  <c r="N806" i="20"/>
  <c r="M806" i="20"/>
  <c r="L806" i="20"/>
  <c r="O806" i="20" s="1"/>
  <c r="L805" i="20"/>
  <c r="O805" i="20" s="1"/>
  <c r="K804" i="20"/>
  <c r="J804" i="20"/>
  <c r="K802" i="20"/>
  <c r="J801" i="20"/>
  <c r="J800" i="20"/>
  <c r="J785" i="20" s="1"/>
  <c r="I800" i="20"/>
  <c r="P798" i="20"/>
  <c r="O798" i="20"/>
  <c r="P797" i="20"/>
  <c r="O797" i="20"/>
  <c r="P796" i="20"/>
  <c r="O796" i="20"/>
  <c r="N796" i="20"/>
  <c r="M796" i="20"/>
  <c r="L796" i="20"/>
  <c r="P791" i="20"/>
  <c r="N791" i="20"/>
  <c r="N789" i="20" s="1"/>
  <c r="L791" i="20"/>
  <c r="L789" i="20" s="1"/>
  <c r="O789" i="20" s="1"/>
  <c r="P790" i="20"/>
  <c r="O790" i="20"/>
  <c r="M789" i="20"/>
  <c r="P789" i="20" s="1"/>
  <c r="N788" i="20"/>
  <c r="N786" i="20" s="1"/>
  <c r="M788" i="20"/>
  <c r="P788" i="20" s="1"/>
  <c r="L788" i="20"/>
  <c r="O788" i="20" s="1"/>
  <c r="N787" i="20"/>
  <c r="M787" i="20"/>
  <c r="L787" i="20"/>
  <c r="O787" i="20" s="1"/>
  <c r="P782" i="20"/>
  <c r="O782" i="20"/>
  <c r="P781" i="20"/>
  <c r="O781" i="20"/>
  <c r="P780" i="20"/>
  <c r="N780" i="20"/>
  <c r="M780" i="20"/>
  <c r="L780" i="20"/>
  <c r="O780" i="20" s="1"/>
  <c r="P775" i="20"/>
  <c r="O775" i="20"/>
  <c r="N775" i="20"/>
  <c r="P774" i="20"/>
  <c r="O774" i="20"/>
  <c r="P773" i="20"/>
  <c r="O773" i="20"/>
  <c r="N773" i="20"/>
  <c r="M773" i="20"/>
  <c r="L773" i="20"/>
  <c r="O772" i="20"/>
  <c r="N772" i="20"/>
  <c r="M772" i="20"/>
  <c r="P772" i="20" s="1"/>
  <c r="L772" i="20"/>
  <c r="N771" i="20"/>
  <c r="N770" i="20" s="1"/>
  <c r="M771" i="20"/>
  <c r="P771" i="20" s="1"/>
  <c r="L771" i="20"/>
  <c r="O771" i="20" s="1"/>
  <c r="L770" i="20"/>
  <c r="O770" i="20" s="1"/>
  <c r="K769" i="20"/>
  <c r="J769" i="20"/>
  <c r="P766" i="20"/>
  <c r="O766" i="20"/>
  <c r="P765" i="20"/>
  <c r="O765" i="20"/>
  <c r="P764" i="20"/>
  <c r="N764" i="20"/>
  <c r="M764" i="20"/>
  <c r="L764" i="20"/>
  <c r="O764" i="20" s="1"/>
  <c r="P759" i="20"/>
  <c r="O759" i="20"/>
  <c r="N759" i="20"/>
  <c r="P758" i="20"/>
  <c r="O758" i="20"/>
  <c r="P757" i="20"/>
  <c r="O757" i="20"/>
  <c r="N757" i="20"/>
  <c r="M757" i="20"/>
  <c r="L757" i="20"/>
  <c r="O756" i="20"/>
  <c r="N756" i="20"/>
  <c r="M756" i="20"/>
  <c r="P756" i="20" s="1"/>
  <c r="L756" i="20"/>
  <c r="N755" i="20"/>
  <c r="M755" i="20"/>
  <c r="P755" i="20" s="1"/>
  <c r="L755" i="20"/>
  <c r="O755" i="20" s="1"/>
  <c r="M754" i="20"/>
  <c r="P754" i="20" s="1"/>
  <c r="L754" i="20"/>
  <c r="O754" i="20" s="1"/>
  <c r="K753" i="20"/>
  <c r="J753" i="20"/>
  <c r="P749" i="20"/>
  <c r="O749" i="20"/>
  <c r="P748" i="20"/>
  <c r="O748" i="20"/>
  <c r="P747" i="20"/>
  <c r="N747" i="20"/>
  <c r="M747" i="20"/>
  <c r="L747" i="20"/>
  <c r="O747" i="20" s="1"/>
  <c r="P742" i="20"/>
  <c r="O742" i="20"/>
  <c r="N742" i="20"/>
  <c r="P741" i="20"/>
  <c r="O741" i="20"/>
  <c r="P740" i="20"/>
  <c r="O740" i="20"/>
  <c r="N740" i="20"/>
  <c r="M740" i="20"/>
  <c r="L740" i="20"/>
  <c r="O739" i="20"/>
  <c r="N739" i="20"/>
  <c r="M739" i="20"/>
  <c r="P739" i="20" s="1"/>
  <c r="L739" i="20"/>
  <c r="N738" i="20"/>
  <c r="M738" i="20"/>
  <c r="P738" i="20" s="1"/>
  <c r="L738" i="20"/>
  <c r="O738" i="20" s="1"/>
  <c r="M737" i="20"/>
  <c r="P737" i="20" s="1"/>
  <c r="L737" i="20"/>
  <c r="O737" i="20" s="1"/>
  <c r="K736" i="20"/>
  <c r="J736" i="20"/>
  <c r="J729" i="20"/>
  <c r="I729" i="20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P695" i="20"/>
  <c r="N695" i="20"/>
  <c r="M695" i="20"/>
  <c r="L695" i="20"/>
  <c r="O695" i="20" s="1"/>
  <c r="N694" i="20"/>
  <c r="N690" i="20" s="1"/>
  <c r="N688" i="20" s="1"/>
  <c r="P690" i="20"/>
  <c r="L690" i="20"/>
  <c r="P688" i="20"/>
  <c r="M688" i="20"/>
  <c r="M687" i="20"/>
  <c r="P687" i="20" s="1"/>
  <c r="N686" i="20"/>
  <c r="M686" i="20"/>
  <c r="P686" i="20" s="1"/>
  <c r="L686" i="20"/>
  <c r="O686" i="20" s="1"/>
  <c r="M685" i="20"/>
  <c r="P685" i="20" s="1"/>
  <c r="J679" i="20"/>
  <c r="J678" i="20" s="1"/>
  <c r="I678" i="20"/>
  <c r="K678" i="20" s="1"/>
  <c r="J675" i="20"/>
  <c r="J669" i="20" s="1"/>
  <c r="I671" i="20"/>
  <c r="K671" i="20" s="1"/>
  <c r="I670" i="20"/>
  <c r="K670" i="20" s="1"/>
  <c r="I669" i="20"/>
  <c r="P667" i="20"/>
  <c r="O667" i="20"/>
  <c r="P666" i="20"/>
  <c r="O666" i="20"/>
  <c r="N665" i="20"/>
  <c r="M665" i="20"/>
  <c r="P665" i="20" s="1"/>
  <c r="L665" i="20"/>
  <c r="O665" i="20" s="1"/>
  <c r="P660" i="20"/>
  <c r="N660" i="20"/>
  <c r="N657" i="20" s="1"/>
  <c r="N655" i="20" s="1"/>
  <c r="L660" i="20"/>
  <c r="P659" i="20"/>
  <c r="O659" i="20"/>
  <c r="N658" i="20"/>
  <c r="M658" i="20"/>
  <c r="P658" i="20" s="1"/>
  <c r="P657" i="20"/>
  <c r="M657" i="20"/>
  <c r="M655" i="20" s="1"/>
  <c r="P656" i="20"/>
  <c r="O656" i="20"/>
  <c r="N656" i="20"/>
  <c r="M656" i="20"/>
  <c r="L656" i="20"/>
  <c r="P655" i="20"/>
  <c r="J654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O641" i="20" s="1"/>
  <c r="P640" i="20"/>
  <c r="O640" i="20"/>
  <c r="P639" i="20"/>
  <c r="N639" i="20"/>
  <c r="M639" i="20"/>
  <c r="L639" i="20"/>
  <c r="O639" i="20" s="1"/>
  <c r="N638" i="20"/>
  <c r="P634" i="20"/>
  <c r="N634" i="20"/>
  <c r="L634" i="20"/>
  <c r="O634" i="20" s="1"/>
  <c r="P633" i="20"/>
  <c r="O633" i="20"/>
  <c r="P632" i="20"/>
  <c r="N632" i="20"/>
  <c r="M632" i="20"/>
  <c r="L632" i="20"/>
  <c r="O632" i="20" s="1"/>
  <c r="N631" i="20"/>
  <c r="M631" i="20"/>
  <c r="P631" i="20" s="1"/>
  <c r="N630" i="20"/>
  <c r="N629" i="20" s="1"/>
  <c r="M630" i="20"/>
  <c r="P630" i="20" s="1"/>
  <c r="L630" i="20"/>
  <c r="O630" i="20" s="1"/>
  <c r="J621" i="20"/>
  <c r="I621" i="20"/>
  <c r="K621" i="20" s="1"/>
  <c r="J620" i="20"/>
  <c r="I620" i="20"/>
  <c r="K613" i="20"/>
  <c r="J613" i="20"/>
  <c r="K612" i="20"/>
  <c r="J612" i="20"/>
  <c r="K611" i="20"/>
  <c r="J611" i="20"/>
  <c r="J604" i="20"/>
  <c r="J603" i="20"/>
  <c r="J593" i="20" s="1"/>
  <c r="J596" i="20"/>
  <c r="J594" i="20" s="1"/>
  <c r="J595" i="20"/>
  <c r="I594" i="20"/>
  <c r="K594" i="20" s="1"/>
  <c r="I593" i="20"/>
  <c r="I592" i="20" s="1"/>
  <c r="J583" i="20"/>
  <c r="J577" i="20" s="1"/>
  <c r="J582" i="20"/>
  <c r="J576" i="20" s="1"/>
  <c r="J559" i="20" s="1"/>
  <c r="J543" i="20" s="1"/>
  <c r="I577" i="20"/>
  <c r="I576" i="20"/>
  <c r="J569" i="20"/>
  <c r="I569" i="20"/>
  <c r="J568" i="20"/>
  <c r="I568" i="20"/>
  <c r="J561" i="20"/>
  <c r="I561" i="20"/>
  <c r="J560" i="20"/>
  <c r="I560" i="20"/>
  <c r="K560" i="20" s="1"/>
  <c r="P557" i="20"/>
  <c r="L557" i="20"/>
  <c r="L555" i="20" s="1"/>
  <c r="O555" i="20" s="1"/>
  <c r="P556" i="20"/>
  <c r="O556" i="20"/>
  <c r="N555" i="20"/>
  <c r="N545" i="20" s="1"/>
  <c r="N544" i="20" s="1"/>
  <c r="M555" i="20"/>
  <c r="N553" i="20"/>
  <c r="P549" i="20"/>
  <c r="N549" i="20"/>
  <c r="N546" i="20" s="1"/>
  <c r="L549" i="20"/>
  <c r="P548" i="20"/>
  <c r="O548" i="20"/>
  <c r="N547" i="20"/>
  <c r="M547" i="20"/>
  <c r="P547" i="20" s="1"/>
  <c r="M546" i="20"/>
  <c r="P546" i="20" s="1"/>
  <c r="L545" i="20"/>
  <c r="I542" i="20"/>
  <c r="K542" i="20" s="1"/>
  <c r="I541" i="20"/>
  <c r="K541" i="20" s="1"/>
  <c r="I540" i="20"/>
  <c r="K540" i="20" s="1"/>
  <c r="I539" i="20"/>
  <c r="K539" i="20" s="1"/>
  <c r="I538" i="20"/>
  <c r="I537" i="20"/>
  <c r="I522" i="20" s="1"/>
  <c r="K522" i="20" s="1"/>
  <c r="P535" i="20"/>
  <c r="L535" i="20"/>
  <c r="L533" i="20" s="1"/>
  <c r="O533" i="20" s="1"/>
  <c r="P534" i="20"/>
  <c r="O534" i="20"/>
  <c r="N533" i="20"/>
  <c r="M533" i="20"/>
  <c r="P533" i="20" s="1"/>
  <c r="P528" i="20"/>
  <c r="N528" i="20"/>
  <c r="L528" i="20"/>
  <c r="O528" i="20" s="1"/>
  <c r="P527" i="20"/>
  <c r="O527" i="20"/>
  <c r="P526" i="20"/>
  <c r="N526" i="20"/>
  <c r="M526" i="20"/>
  <c r="L526" i="20"/>
  <c r="O526" i="20" s="1"/>
  <c r="P525" i="20"/>
  <c r="N525" i="20"/>
  <c r="M525" i="20"/>
  <c r="P524" i="20"/>
  <c r="O524" i="20"/>
  <c r="N524" i="20"/>
  <c r="M524" i="20"/>
  <c r="L524" i="20"/>
  <c r="N523" i="20"/>
  <c r="M523" i="20"/>
  <c r="P523" i="20" s="1"/>
  <c r="K517" i="20"/>
  <c r="J517" i="20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N505" i="20" s="1"/>
  <c r="P506" i="20"/>
  <c r="O506" i="20"/>
  <c r="P505" i="20"/>
  <c r="O505" i="20"/>
  <c r="M505" i="20"/>
  <c r="L505" i="20"/>
  <c r="O504" i="20"/>
  <c r="N504" i="20"/>
  <c r="M504" i="20"/>
  <c r="P504" i="20" s="1"/>
  <c r="L504" i="20"/>
  <c r="N503" i="20"/>
  <c r="N502" i="20" s="1"/>
  <c r="M503" i="20"/>
  <c r="P503" i="20" s="1"/>
  <c r="L503" i="20"/>
  <c r="O503" i="20" s="1"/>
  <c r="L502" i="20"/>
  <c r="O502" i="20" s="1"/>
  <c r="K501" i="20"/>
  <c r="J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O479" i="20" s="1"/>
  <c r="P478" i="20"/>
  <c r="O478" i="20"/>
  <c r="P477" i="20"/>
  <c r="N477" i="20"/>
  <c r="M477" i="20"/>
  <c r="N476" i="20"/>
  <c r="N472" i="20" s="1"/>
  <c r="P472" i="20"/>
  <c r="L472" i="20"/>
  <c r="P471" i="20"/>
  <c r="O471" i="20"/>
  <c r="P470" i="20"/>
  <c r="M470" i="20"/>
  <c r="P469" i="20"/>
  <c r="M469" i="20"/>
  <c r="P468" i="20"/>
  <c r="O468" i="20"/>
  <c r="N468" i="20"/>
  <c r="M468" i="20"/>
  <c r="L468" i="20"/>
  <c r="M467" i="20"/>
  <c r="P467" i="20" s="1"/>
  <c r="J466" i="20"/>
  <c r="I466" i="20"/>
  <c r="K466" i="20" s="1"/>
  <c r="J465" i="20"/>
  <c r="I465" i="20"/>
  <c r="K465" i="20" s="1"/>
  <c r="I464" i="20"/>
  <c r="I463" i="20"/>
  <c r="I462" i="20"/>
  <c r="I460" i="20"/>
  <c r="K458" i="20"/>
  <c r="P456" i="20"/>
  <c r="L456" i="20"/>
  <c r="O456" i="20" s="1"/>
  <c r="P455" i="20"/>
  <c r="O455" i="20"/>
  <c r="N454" i="20"/>
  <c r="M454" i="20"/>
  <c r="P454" i="20" s="1"/>
  <c r="N453" i="20"/>
  <c r="P449" i="20"/>
  <c r="N449" i="20"/>
  <c r="N446" i="20" s="1"/>
  <c r="N444" i="20" s="1"/>
  <c r="L449" i="20"/>
  <c r="P448" i="20"/>
  <c r="O448" i="20"/>
  <c r="N447" i="20"/>
  <c r="M447" i="20"/>
  <c r="P447" i="20" s="1"/>
  <c r="M446" i="20"/>
  <c r="P446" i="20" s="1"/>
  <c r="P445" i="20"/>
  <c r="N445" i="20"/>
  <c r="M445" i="20"/>
  <c r="M444" i="20" s="1"/>
  <c r="P444" i="20" s="1"/>
  <c r="L445" i="20"/>
  <c r="O445" i="20" s="1"/>
  <c r="J443" i="20"/>
  <c r="J442" i="20"/>
  <c r="I441" i="20"/>
  <c r="K441" i="20" s="1"/>
  <c r="I440" i="20"/>
  <c r="K440" i="20" s="1"/>
  <c r="I439" i="20"/>
  <c r="K439" i="20" s="1"/>
  <c r="I438" i="20"/>
  <c r="I437" i="20"/>
  <c r="K437" i="20" s="1"/>
  <c r="I435" i="20"/>
  <c r="K435" i="20" s="1"/>
  <c r="J434" i="20"/>
  <c r="P431" i="20"/>
  <c r="L431" i="20"/>
  <c r="L429" i="20" s="1"/>
  <c r="O429" i="20" s="1"/>
  <c r="P430" i="20"/>
  <c r="O430" i="20"/>
  <c r="N429" i="20"/>
  <c r="M429" i="20"/>
  <c r="P429" i="20" s="1"/>
  <c r="N428" i="20"/>
  <c r="P424" i="20"/>
  <c r="N424" i="20"/>
  <c r="N421" i="20" s="1"/>
  <c r="N419" i="20" s="1"/>
  <c r="L424" i="20"/>
  <c r="P423" i="20"/>
  <c r="O423" i="20"/>
  <c r="M422" i="20"/>
  <c r="P422" i="20" s="1"/>
  <c r="M421" i="20"/>
  <c r="N420" i="20"/>
  <c r="M420" i="20"/>
  <c r="P420" i="20" s="1"/>
  <c r="L420" i="20"/>
  <c r="J418" i="20"/>
  <c r="K413" i="20"/>
  <c r="K412" i="20"/>
  <c r="N410" i="20"/>
  <c r="N408" i="20" s="1"/>
  <c r="M410" i="20"/>
  <c r="L410" i="20"/>
  <c r="O410" i="20" s="1"/>
  <c r="P409" i="20"/>
  <c r="O409" i="20"/>
  <c r="N407" i="20"/>
  <c r="N405" i="20" s="1"/>
  <c r="M407" i="20"/>
  <c r="L407" i="20"/>
  <c r="O407" i="20" s="1"/>
  <c r="P406" i="20"/>
  <c r="O406" i="20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P396" i="20"/>
  <c r="O396" i="20"/>
  <c r="N394" i="20"/>
  <c r="N392" i="20" s="1"/>
  <c r="M394" i="20"/>
  <c r="P394" i="20" s="1"/>
  <c r="L394" i="20"/>
  <c r="P393" i="20"/>
  <c r="O393" i="20"/>
  <c r="N390" i="20"/>
  <c r="M390" i="20"/>
  <c r="P390" i="20" s="1"/>
  <c r="L390" i="20"/>
  <c r="K388" i="20"/>
  <c r="J388" i="20"/>
  <c r="I388" i="20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L353" i="20"/>
  <c r="P352" i="20"/>
  <c r="O352" i="20"/>
  <c r="N350" i="20"/>
  <c r="N348" i="20" s="1"/>
  <c r="M350" i="20"/>
  <c r="L350" i="20"/>
  <c r="P349" i="20"/>
  <c r="O349" i="20"/>
  <c r="N346" i="20"/>
  <c r="M346" i="20"/>
  <c r="P346" i="20" s="1"/>
  <c r="L346" i="20"/>
  <c r="J343" i="20"/>
  <c r="J342" i="20"/>
  <c r="J341" i="20"/>
  <c r="J340" i="20"/>
  <c r="I340" i="20"/>
  <c r="J338" i="20"/>
  <c r="I338" i="20"/>
  <c r="N336" i="20"/>
  <c r="N334" i="20" s="1"/>
  <c r="M336" i="20"/>
  <c r="P336" i="20" s="1"/>
  <c r="L336" i="20"/>
  <c r="P335" i="20"/>
  <c r="O335" i="20"/>
  <c r="N333" i="20"/>
  <c r="N331" i="20" s="1"/>
  <c r="M333" i="20"/>
  <c r="L333" i="20"/>
  <c r="P332" i="20"/>
  <c r="O332" i="20"/>
  <c r="N329" i="20"/>
  <c r="M329" i="20"/>
  <c r="P329" i="20" s="1"/>
  <c r="L329" i="20"/>
  <c r="I327" i="20"/>
  <c r="I325" i="20"/>
  <c r="N323" i="20"/>
  <c r="N321" i="20" s="1"/>
  <c r="M323" i="20"/>
  <c r="L323" i="20"/>
  <c r="O323" i="20" s="1"/>
  <c r="P322" i="20"/>
  <c r="O322" i="20"/>
  <c r="N320" i="20"/>
  <c r="M320" i="20"/>
  <c r="P320" i="20" s="1"/>
  <c r="L320" i="20"/>
  <c r="L318" i="20" s="1"/>
  <c r="O318" i="20" s="1"/>
  <c r="P319" i="20"/>
  <c r="O319" i="20"/>
  <c r="O316" i="20"/>
  <c r="N316" i="20"/>
  <c r="M316" i="20"/>
  <c r="P316" i="20" s="1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P306" i="20" s="1"/>
  <c r="L306" i="20"/>
  <c r="P305" i="20"/>
  <c r="O305" i="20"/>
  <c r="N303" i="20"/>
  <c r="M303" i="20"/>
  <c r="M301" i="20" s="1"/>
  <c r="L303" i="20"/>
  <c r="P302" i="20"/>
  <c r="O302" i="20"/>
  <c r="P299" i="20"/>
  <c r="O299" i="20"/>
  <c r="N299" i="20"/>
  <c r="M299" i="20"/>
  <c r="L299" i="20"/>
  <c r="J297" i="20"/>
  <c r="I294" i="20"/>
  <c r="K294" i="20" s="1"/>
  <c r="I293" i="20"/>
  <c r="K293" i="20" s="1"/>
  <c r="I291" i="20"/>
  <c r="K291" i="20" s="1"/>
  <c r="I290" i="20"/>
  <c r="K290" i="20" s="1"/>
  <c r="I288" i="20"/>
  <c r="I275" i="20" s="1"/>
  <c r="I287" i="20"/>
  <c r="K287" i="20" s="1"/>
  <c r="N285" i="20"/>
  <c r="N283" i="20" s="1"/>
  <c r="M285" i="20"/>
  <c r="M283" i="20" s="1"/>
  <c r="P283" i="20" s="1"/>
  <c r="L285" i="20"/>
  <c r="O285" i="20" s="1"/>
  <c r="P284" i="20"/>
  <c r="O284" i="20"/>
  <c r="N282" i="20"/>
  <c r="M282" i="20"/>
  <c r="M280" i="20" s="1"/>
  <c r="L282" i="20"/>
  <c r="L280" i="20" s="1"/>
  <c r="P281" i="20"/>
  <c r="O281" i="20"/>
  <c r="N278" i="20"/>
  <c r="M278" i="20"/>
  <c r="L278" i="20"/>
  <c r="O278" i="20" s="1"/>
  <c r="J276" i="20"/>
  <c r="I271" i="20"/>
  <c r="K271" i="20" s="1"/>
  <c r="N269" i="20"/>
  <c r="N267" i="20" s="1"/>
  <c r="M269" i="20"/>
  <c r="L269" i="20"/>
  <c r="L267" i="20" s="1"/>
  <c r="O267" i="20" s="1"/>
  <c r="P268" i="20"/>
  <c r="O268" i="20"/>
  <c r="N266" i="20"/>
  <c r="N264" i="20" s="1"/>
  <c r="M266" i="20"/>
  <c r="L266" i="20"/>
  <c r="L264" i="20" s="1"/>
  <c r="P265" i="20"/>
  <c r="O265" i="20"/>
  <c r="N262" i="20"/>
  <c r="M262" i="20"/>
  <c r="P262" i="20" s="1"/>
  <c r="L262" i="20"/>
  <c r="J260" i="20"/>
  <c r="K258" i="20"/>
  <c r="K257" i="20"/>
  <c r="I255" i="20"/>
  <c r="L253" i="20"/>
  <c r="L252" i="20"/>
  <c r="L251" i="20"/>
  <c r="L250" i="20"/>
  <c r="P249" i="20"/>
  <c r="N249" i="20"/>
  <c r="J248" i="20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J226" i="20" s="1"/>
  <c r="J180" i="20" s="1"/>
  <c r="J236" i="20"/>
  <c r="I236" i="20"/>
  <c r="K236" i="20" s="1"/>
  <c r="K235" i="20"/>
  <c r="J235" i="20"/>
  <c r="I235" i="20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K204" i="20" s="1"/>
  <c r="L202" i="20"/>
  <c r="L201" i="20"/>
  <c r="L200" i="20"/>
  <c r="L199" i="20"/>
  <c r="P198" i="20"/>
  <c r="N198" i="20"/>
  <c r="J197" i="20"/>
  <c r="J194" i="20"/>
  <c r="I193" i="20"/>
  <c r="P191" i="20"/>
  <c r="L191" i="20"/>
  <c r="O191" i="20" s="1"/>
  <c r="J190" i="20"/>
  <c r="N189" i="20"/>
  <c r="N187" i="20" s="1"/>
  <c r="M189" i="20"/>
  <c r="P189" i="20" s="1"/>
  <c r="L189" i="20"/>
  <c r="P188" i="20"/>
  <c r="O188" i="20"/>
  <c r="N186" i="20"/>
  <c r="N184" i="20" s="1"/>
  <c r="M186" i="20"/>
  <c r="L186" i="20"/>
  <c r="L184" i="20" s="1"/>
  <c r="P185" i="20"/>
  <c r="O185" i="20"/>
  <c r="P182" i="20"/>
  <c r="O182" i="20"/>
  <c r="N182" i="20"/>
  <c r="M182" i="20"/>
  <c r="L182" i="20"/>
  <c r="J177" i="20"/>
  <c r="I176" i="20"/>
  <c r="J174" i="20"/>
  <c r="N173" i="20"/>
  <c r="N171" i="20" s="1"/>
  <c r="M173" i="20"/>
  <c r="M171" i="20" s="1"/>
  <c r="P171" i="20" s="1"/>
  <c r="L173" i="20"/>
  <c r="P172" i="20"/>
  <c r="O172" i="20"/>
  <c r="N170" i="20"/>
  <c r="M170" i="20"/>
  <c r="L170" i="20"/>
  <c r="P169" i="20"/>
  <c r="O169" i="20"/>
  <c r="P166" i="20"/>
  <c r="O166" i="20"/>
  <c r="N166" i="20"/>
  <c r="M166" i="20"/>
  <c r="L166" i="20"/>
  <c r="J164" i="20"/>
  <c r="I159" i="20"/>
  <c r="I148" i="20" s="1"/>
  <c r="K148" i="20" s="1"/>
  <c r="N157" i="20"/>
  <c r="N155" i="20" s="1"/>
  <c r="M157" i="20"/>
  <c r="L157" i="20"/>
  <c r="L155" i="20" s="1"/>
  <c r="O155" i="20" s="1"/>
  <c r="P156" i="20"/>
  <c r="O156" i="20"/>
  <c r="N154" i="20"/>
  <c r="N152" i="20" s="1"/>
  <c r="M154" i="20"/>
  <c r="L154" i="20"/>
  <c r="L152" i="20" s="1"/>
  <c r="P153" i="20"/>
  <c r="O153" i="20"/>
  <c r="N150" i="20"/>
  <c r="M150" i="20"/>
  <c r="P150" i="20" s="1"/>
  <c r="L150" i="20"/>
  <c r="J148" i="20"/>
  <c r="I146" i="20"/>
  <c r="I130" i="20" s="1"/>
  <c r="K130" i="20" s="1"/>
  <c r="I145" i="20"/>
  <c r="I144" i="20"/>
  <c r="K144" i="20" s="1"/>
  <c r="N140" i="20"/>
  <c r="N138" i="20" s="1"/>
  <c r="M140" i="20"/>
  <c r="L140" i="20"/>
  <c r="O140" i="20" s="1"/>
  <c r="P139" i="20"/>
  <c r="O139" i="20"/>
  <c r="N137" i="20"/>
  <c r="M137" i="20"/>
  <c r="P137" i="20" s="1"/>
  <c r="L137" i="20"/>
  <c r="O137" i="20" s="1"/>
  <c r="P136" i="20"/>
  <c r="O136" i="20"/>
  <c r="P133" i="20"/>
  <c r="O133" i="20"/>
  <c r="N133" i="20"/>
  <c r="M133" i="20"/>
  <c r="L133" i="20"/>
  <c r="J130" i="20"/>
  <c r="N127" i="20"/>
  <c r="N125" i="20" s="1"/>
  <c r="M127" i="20"/>
  <c r="L127" i="20"/>
  <c r="P126" i="20"/>
  <c r="O126" i="20"/>
  <c r="N124" i="20"/>
  <c r="N122" i="20" s="1"/>
  <c r="M124" i="20"/>
  <c r="L124" i="20"/>
  <c r="P123" i="20"/>
  <c r="O123" i="20"/>
  <c r="N120" i="20"/>
  <c r="M120" i="20"/>
  <c r="L120" i="20"/>
  <c r="O120" i="20" s="1"/>
  <c r="I116" i="20"/>
  <c r="K116" i="20" s="1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J99" i="20"/>
  <c r="I99" i="20"/>
  <c r="I87" i="20" s="1"/>
  <c r="J98" i="20"/>
  <c r="J86" i="20" s="1"/>
  <c r="I98" i="20"/>
  <c r="N96" i="20"/>
  <c r="N94" i="20" s="1"/>
  <c r="M96" i="20"/>
  <c r="L96" i="20"/>
  <c r="O96" i="20" s="1"/>
  <c r="P95" i="20"/>
  <c r="O95" i="20"/>
  <c r="N93" i="20"/>
  <c r="M93" i="20"/>
  <c r="M91" i="20" s="1"/>
  <c r="L93" i="20"/>
  <c r="P92" i="20"/>
  <c r="O92" i="20"/>
  <c r="P89" i="20"/>
  <c r="O89" i="20"/>
  <c r="N89" i="20"/>
  <c r="M89" i="20"/>
  <c r="L89" i="20"/>
  <c r="J87" i="20"/>
  <c r="I84" i="20"/>
  <c r="K84" i="20" s="1"/>
  <c r="I83" i="20"/>
  <c r="K83" i="20" s="1"/>
  <c r="I82" i="20"/>
  <c r="K82" i="20" s="1"/>
  <c r="I81" i="20"/>
  <c r="K81" i="20" s="1"/>
  <c r="I80" i="20"/>
  <c r="K80" i="20" s="1"/>
  <c r="I79" i="20"/>
  <c r="K79" i="20" s="1"/>
  <c r="I78" i="20"/>
  <c r="K78" i="20" s="1"/>
  <c r="J77" i="20"/>
  <c r="J65" i="20" s="1"/>
  <c r="J76" i="20"/>
  <c r="N74" i="20"/>
  <c r="N72" i="20" s="1"/>
  <c r="M74" i="20"/>
  <c r="P74" i="20" s="1"/>
  <c r="L74" i="20"/>
  <c r="O74" i="20" s="1"/>
  <c r="P73" i="20"/>
  <c r="O73" i="20"/>
  <c r="N71" i="20"/>
  <c r="N69" i="20" s="1"/>
  <c r="M71" i="20"/>
  <c r="L71" i="20"/>
  <c r="P70" i="20"/>
  <c r="O70" i="20"/>
  <c r="P67" i="20"/>
  <c r="O67" i="20"/>
  <c r="N67" i="20"/>
  <c r="M67" i="20"/>
  <c r="L67" i="20"/>
  <c r="J64" i="20"/>
  <c r="N61" i="20"/>
  <c r="M61" i="20"/>
  <c r="P61" i="20" s="1"/>
  <c r="L61" i="20"/>
  <c r="P60" i="20"/>
  <c r="O60" i="20"/>
  <c r="N58" i="20"/>
  <c r="N56" i="20" s="1"/>
  <c r="M58" i="20"/>
  <c r="M56" i="20" s="1"/>
  <c r="L58" i="20"/>
  <c r="P57" i="20"/>
  <c r="O57" i="20"/>
  <c r="N54" i="20"/>
  <c r="M54" i="20"/>
  <c r="L54" i="20"/>
  <c r="O54" i="20" s="1"/>
  <c r="N49" i="20"/>
  <c r="N47" i="20" s="1"/>
  <c r="M49" i="20"/>
  <c r="M47" i="20" s="1"/>
  <c r="P47" i="20" s="1"/>
  <c r="L49" i="20"/>
  <c r="O49" i="20" s="1"/>
  <c r="P48" i="20"/>
  <c r="O48" i="20"/>
  <c r="N46" i="20"/>
  <c r="N44" i="20" s="1"/>
  <c r="M46" i="20"/>
  <c r="L46" i="20"/>
  <c r="P45" i="20"/>
  <c r="O45" i="20"/>
  <c r="P42" i="20"/>
  <c r="O42" i="20"/>
  <c r="N42" i="20"/>
  <c r="M42" i="20"/>
  <c r="L42" i="20"/>
  <c r="N36" i="20"/>
  <c r="M36" i="20"/>
  <c r="P36" i="20" s="1"/>
  <c r="N35" i="20"/>
  <c r="N34" i="20" s="1"/>
  <c r="M35" i="20"/>
  <c r="M15" i="20" s="1"/>
  <c r="L35" i="20"/>
  <c r="O35" i="20" s="1"/>
  <c r="P33" i="20"/>
  <c r="N33" i="20"/>
  <c r="M33" i="20"/>
  <c r="O32" i="20"/>
  <c r="N32" i="20"/>
  <c r="N29" i="20" s="1"/>
  <c r="N28" i="20" s="1"/>
  <c r="M32" i="20"/>
  <c r="P32" i="20" s="1"/>
  <c r="L32" i="20"/>
  <c r="N30" i="20"/>
  <c r="L29" i="20"/>
  <c r="O29" i="20" s="1"/>
  <c r="P25" i="20"/>
  <c r="N25" i="20"/>
  <c r="M25" i="20"/>
  <c r="L25" i="20"/>
  <c r="O25" i="20" s="1"/>
  <c r="O22" i="20"/>
  <c r="N22" i="20"/>
  <c r="M22" i="20"/>
  <c r="P22" i="20" s="1"/>
  <c r="L22" i="20"/>
  <c r="N19" i="20"/>
  <c r="L19" i="20"/>
  <c r="O19" i="20" s="1"/>
  <c r="N15" i="20"/>
  <c r="L12" i="20"/>
  <c r="O12" i="20" s="1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O815" i="19"/>
  <c r="N815" i="19"/>
  <c r="M815" i="19"/>
  <c r="L815" i="19"/>
  <c r="P810" i="19"/>
  <c r="O810" i="19"/>
  <c r="N810" i="19"/>
  <c r="P809" i="19"/>
  <c r="O809" i="19"/>
  <c r="O808" i="19"/>
  <c r="N808" i="19"/>
  <c r="M808" i="19"/>
  <c r="P808" i="19" s="1"/>
  <c r="L808" i="19"/>
  <c r="N807" i="19"/>
  <c r="N805" i="19" s="1"/>
  <c r="M807" i="19"/>
  <c r="P807" i="19" s="1"/>
  <c r="L807" i="19"/>
  <c r="O807" i="19" s="1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P796" i="19"/>
  <c r="O796" i="19"/>
  <c r="N796" i="19"/>
  <c r="M796" i="19"/>
  <c r="L796" i="19"/>
  <c r="P791" i="19"/>
  <c r="N791" i="19"/>
  <c r="L791" i="19"/>
  <c r="L789" i="19" s="1"/>
  <c r="O789" i="19" s="1"/>
  <c r="P790" i="19"/>
  <c r="O790" i="19"/>
  <c r="N789" i="19"/>
  <c r="M789" i="19"/>
  <c r="P789" i="19" s="1"/>
  <c r="N788" i="19"/>
  <c r="N786" i="19" s="1"/>
  <c r="M788" i="19"/>
  <c r="P788" i="19" s="1"/>
  <c r="N787" i="19"/>
  <c r="M787" i="19"/>
  <c r="L787" i="19"/>
  <c r="O787" i="19" s="1"/>
  <c r="P782" i="19"/>
  <c r="O782" i="19"/>
  <c r="P781" i="19"/>
  <c r="O781" i="19"/>
  <c r="P780" i="19"/>
  <c r="N780" i="19"/>
  <c r="M780" i="19"/>
  <c r="L780" i="19"/>
  <c r="O780" i="19" s="1"/>
  <c r="P775" i="19"/>
  <c r="O775" i="19"/>
  <c r="N775" i="19"/>
  <c r="P774" i="19"/>
  <c r="O774" i="19"/>
  <c r="P773" i="19"/>
  <c r="O773" i="19"/>
  <c r="N773" i="19"/>
  <c r="M773" i="19"/>
  <c r="L773" i="19"/>
  <c r="O772" i="19"/>
  <c r="N772" i="19"/>
  <c r="M772" i="19"/>
  <c r="P772" i="19" s="1"/>
  <c r="L772" i="19"/>
  <c r="N771" i="19"/>
  <c r="N770" i="19" s="1"/>
  <c r="M771" i="19"/>
  <c r="L771" i="19"/>
  <c r="O771" i="19" s="1"/>
  <c r="L770" i="19"/>
  <c r="O770" i="19" s="1"/>
  <c r="K769" i="19"/>
  <c r="J769" i="19"/>
  <c r="P766" i="19"/>
  <c r="O766" i="19"/>
  <c r="P765" i="19"/>
  <c r="O765" i="19"/>
  <c r="P764" i="19"/>
  <c r="N764" i="19"/>
  <c r="M764" i="19"/>
  <c r="L764" i="19"/>
  <c r="O764" i="19" s="1"/>
  <c r="P759" i="19"/>
  <c r="O759" i="19"/>
  <c r="N759" i="19"/>
  <c r="P758" i="19"/>
  <c r="O758" i="19"/>
  <c r="P757" i="19"/>
  <c r="O757" i="19"/>
  <c r="N757" i="19"/>
  <c r="M757" i="19"/>
  <c r="L757" i="19"/>
  <c r="O756" i="19"/>
  <c r="N756" i="19"/>
  <c r="M756" i="19"/>
  <c r="P756" i="19" s="1"/>
  <c r="L756" i="19"/>
  <c r="N755" i="19"/>
  <c r="M755" i="19"/>
  <c r="P755" i="19" s="1"/>
  <c r="L755" i="19"/>
  <c r="O755" i="19" s="1"/>
  <c r="L754" i="19"/>
  <c r="O754" i="19" s="1"/>
  <c r="K753" i="19"/>
  <c r="J753" i="19"/>
  <c r="P749" i="19"/>
  <c r="O749" i="19"/>
  <c r="P748" i="19"/>
  <c r="O748" i="19"/>
  <c r="P747" i="19"/>
  <c r="N747" i="19"/>
  <c r="M747" i="19"/>
  <c r="L747" i="19"/>
  <c r="O747" i="19" s="1"/>
  <c r="P742" i="19"/>
  <c r="O742" i="19"/>
  <c r="N742" i="19"/>
  <c r="P741" i="19"/>
  <c r="O741" i="19"/>
  <c r="P740" i="19"/>
  <c r="O740" i="19"/>
  <c r="N740" i="19"/>
  <c r="M740" i="19"/>
  <c r="L740" i="19"/>
  <c r="O739" i="19"/>
  <c r="N739" i="19"/>
  <c r="M739" i="19"/>
  <c r="P739" i="19" s="1"/>
  <c r="L739" i="19"/>
  <c r="N738" i="19"/>
  <c r="N737" i="19" s="1"/>
  <c r="M738" i="19"/>
  <c r="P738" i="19" s="1"/>
  <c r="L738" i="19"/>
  <c r="O738" i="19" s="1"/>
  <c r="M737" i="19"/>
  <c r="P737" i="19" s="1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P695" i="19"/>
  <c r="N695" i="19"/>
  <c r="M695" i="19"/>
  <c r="L695" i="19"/>
  <c r="O695" i="19" s="1"/>
  <c r="P690" i="19"/>
  <c r="N690" i="19"/>
  <c r="L690" i="19"/>
  <c r="L687" i="19" s="1"/>
  <c r="O687" i="19" s="1"/>
  <c r="N688" i="19"/>
  <c r="M688" i="19"/>
  <c r="P688" i="19" s="1"/>
  <c r="N687" i="19"/>
  <c r="N685" i="19" s="1"/>
  <c r="M687" i="19"/>
  <c r="P687" i="19" s="1"/>
  <c r="N686" i="19"/>
  <c r="M686" i="19"/>
  <c r="L686" i="19"/>
  <c r="J679" i="19"/>
  <c r="J678" i="19" s="1"/>
  <c r="I678" i="19"/>
  <c r="K678" i="19" s="1"/>
  <c r="J675" i="19"/>
  <c r="J669" i="19" s="1"/>
  <c r="I671" i="19"/>
  <c r="K671" i="19" s="1"/>
  <c r="I670" i="19"/>
  <c r="K670" i="19" s="1"/>
  <c r="I669" i="19"/>
  <c r="K674" i="19" s="1"/>
  <c r="P667" i="19"/>
  <c r="O667" i="19"/>
  <c r="P666" i="19"/>
  <c r="O666" i="19"/>
  <c r="N665" i="19"/>
  <c r="M665" i="19"/>
  <c r="P665" i="19" s="1"/>
  <c r="L665" i="19"/>
  <c r="O665" i="19" s="1"/>
  <c r="P660" i="19"/>
  <c r="N660" i="19"/>
  <c r="L660" i="19"/>
  <c r="O660" i="19" s="1"/>
  <c r="P659" i="19"/>
  <c r="O659" i="19"/>
  <c r="P658" i="19"/>
  <c r="N658" i="19"/>
  <c r="M658" i="19"/>
  <c r="P657" i="19"/>
  <c r="N657" i="19"/>
  <c r="M657" i="19"/>
  <c r="P656" i="19"/>
  <c r="O656" i="19"/>
  <c r="N656" i="19"/>
  <c r="M656" i="19"/>
  <c r="L656" i="19"/>
  <c r="N655" i="19"/>
  <c r="M655" i="19"/>
  <c r="P655" i="19" s="1"/>
  <c r="K652" i="19"/>
  <c r="J652" i="19"/>
  <c r="J651" i="19"/>
  <c r="J628" i="19" s="1"/>
  <c r="I651" i="19"/>
  <c r="I628" i="19" s="1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L639" i="19" s="1"/>
  <c r="O639" i="19" s="1"/>
  <c r="P640" i="19"/>
  <c r="O640" i="19"/>
  <c r="N639" i="19"/>
  <c r="M639" i="19"/>
  <c r="P639" i="19" s="1"/>
  <c r="P634" i="19"/>
  <c r="N634" i="19"/>
  <c r="L634" i="19"/>
  <c r="P633" i="19"/>
  <c r="O633" i="19"/>
  <c r="M632" i="19"/>
  <c r="P632" i="19" s="1"/>
  <c r="M631" i="19"/>
  <c r="P630" i="19"/>
  <c r="N630" i="19"/>
  <c r="M630" i="19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5" i="19"/>
  <c r="J593" i="19" s="1"/>
  <c r="J592" i="19" s="1"/>
  <c r="J594" i="19"/>
  <c r="I594" i="19"/>
  <c r="K594" i="19" s="1"/>
  <c r="I593" i="19"/>
  <c r="J583" i="19"/>
  <c r="J582" i="19"/>
  <c r="J577" i="19"/>
  <c r="I577" i="19"/>
  <c r="K577" i="19" s="1"/>
  <c r="J576" i="19"/>
  <c r="I576" i="19"/>
  <c r="K576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K560" i="19" s="1"/>
  <c r="J559" i="19"/>
  <c r="J543" i="19" s="1"/>
  <c r="P557" i="19"/>
  <c r="L557" i="19"/>
  <c r="O557" i="19" s="1"/>
  <c r="P556" i="19"/>
  <c r="O556" i="19"/>
  <c r="P555" i="19"/>
  <c r="N555" i="19"/>
  <c r="M555" i="19"/>
  <c r="P549" i="19"/>
  <c r="N549" i="19"/>
  <c r="L549" i="19"/>
  <c r="L547" i="19" s="1"/>
  <c r="O547" i="19" s="1"/>
  <c r="P548" i="19"/>
  <c r="O548" i="19"/>
  <c r="P547" i="19"/>
  <c r="N547" i="19"/>
  <c r="M547" i="19"/>
  <c r="P546" i="19"/>
  <c r="N546" i="19"/>
  <c r="M546" i="19"/>
  <c r="O545" i="19"/>
  <c r="N545" i="19"/>
  <c r="N544" i="19" s="1"/>
  <c r="M545" i="19"/>
  <c r="P545" i="19" s="1"/>
  <c r="L545" i="19"/>
  <c r="M544" i="19"/>
  <c r="P544" i="19" s="1"/>
  <c r="I542" i="19"/>
  <c r="K542" i="19" s="1"/>
  <c r="I541" i="19"/>
  <c r="K541" i="19" s="1"/>
  <c r="I540" i="19"/>
  <c r="K540" i="19" s="1"/>
  <c r="I539" i="19"/>
  <c r="K539" i="19" s="1"/>
  <c r="I538" i="19"/>
  <c r="K538" i="19" s="1"/>
  <c r="I537" i="19"/>
  <c r="P535" i="19"/>
  <c r="L535" i="19"/>
  <c r="L533" i="19" s="1"/>
  <c r="O533" i="19" s="1"/>
  <c r="P534" i="19"/>
  <c r="O534" i="19"/>
  <c r="P533" i="19"/>
  <c r="N533" i="19"/>
  <c r="M533" i="19"/>
  <c r="P528" i="19"/>
  <c r="N528" i="19"/>
  <c r="L528" i="19"/>
  <c r="L526" i="19" s="1"/>
  <c r="O526" i="19" s="1"/>
  <c r="P527" i="19"/>
  <c r="O527" i="19"/>
  <c r="N526" i="19"/>
  <c r="M526" i="19"/>
  <c r="P526" i="19" s="1"/>
  <c r="N525" i="19"/>
  <c r="N523" i="19" s="1"/>
  <c r="M525" i="19"/>
  <c r="P525" i="19" s="1"/>
  <c r="N524" i="19"/>
  <c r="M524" i="19"/>
  <c r="L524" i="19"/>
  <c r="O524" i="19" s="1"/>
  <c r="K517" i="19"/>
  <c r="J517" i="19"/>
  <c r="K516" i="19"/>
  <c r="P514" i="19"/>
  <c r="O514" i="19"/>
  <c r="P513" i="19"/>
  <c r="O513" i="19"/>
  <c r="O512" i="19"/>
  <c r="N512" i="19"/>
  <c r="M512" i="19"/>
  <c r="P512" i="19" s="1"/>
  <c r="L512" i="19"/>
  <c r="P507" i="19"/>
  <c r="O507" i="19"/>
  <c r="N507" i="19"/>
  <c r="P506" i="19"/>
  <c r="O506" i="19"/>
  <c r="M505" i="19"/>
  <c r="P505" i="19" s="1"/>
  <c r="L505" i="19"/>
  <c r="O505" i="19" s="1"/>
  <c r="P504" i="19"/>
  <c r="M504" i="19"/>
  <c r="L504" i="19"/>
  <c r="P503" i="19"/>
  <c r="O503" i="19"/>
  <c r="N503" i="19"/>
  <c r="M503" i="19"/>
  <c r="L503" i="19"/>
  <c r="P502" i="19"/>
  <c r="M502" i="19"/>
  <c r="K501" i="19"/>
  <c r="J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P478" i="19"/>
  <c r="O478" i="19"/>
  <c r="N477" i="19"/>
  <c r="M477" i="19"/>
  <c r="P477" i="19" s="1"/>
  <c r="P472" i="19"/>
  <c r="N472" i="19"/>
  <c r="L472" i="19"/>
  <c r="O472" i="19" s="1"/>
  <c r="P471" i="19"/>
  <c r="O471" i="19"/>
  <c r="N470" i="19"/>
  <c r="M470" i="19"/>
  <c r="P470" i="19" s="1"/>
  <c r="P469" i="19"/>
  <c r="N469" i="19"/>
  <c r="M469" i="19"/>
  <c r="P468" i="19"/>
  <c r="O468" i="19"/>
  <c r="N468" i="19"/>
  <c r="M468" i="19"/>
  <c r="L468" i="19"/>
  <c r="P467" i="19"/>
  <c r="N467" i="19"/>
  <c r="M467" i="19"/>
  <c r="J466" i="19"/>
  <c r="I466" i="19"/>
  <c r="K466" i="19" s="1"/>
  <c r="J465" i="19"/>
  <c r="I465" i="19"/>
  <c r="K465" i="19" s="1"/>
  <c r="I464" i="19"/>
  <c r="I463" i="19"/>
  <c r="I462" i="19"/>
  <c r="I443" i="19" s="1"/>
  <c r="K443" i="19" s="1"/>
  <c r="I460" i="19"/>
  <c r="I442" i="19" s="1"/>
  <c r="K442" i="19" s="1"/>
  <c r="K458" i="19"/>
  <c r="P456" i="19"/>
  <c r="L456" i="19"/>
  <c r="L454" i="19" s="1"/>
  <c r="O454" i="19" s="1"/>
  <c r="P455" i="19"/>
  <c r="O455" i="19"/>
  <c r="N454" i="19"/>
  <c r="M454" i="19"/>
  <c r="P454" i="19" s="1"/>
  <c r="P449" i="19"/>
  <c r="N449" i="19"/>
  <c r="N446" i="19" s="1"/>
  <c r="L449" i="19"/>
  <c r="P448" i="19"/>
  <c r="O448" i="19"/>
  <c r="N447" i="19"/>
  <c r="M447" i="19"/>
  <c r="P447" i="19" s="1"/>
  <c r="M446" i="19"/>
  <c r="P445" i="19"/>
  <c r="N445" i="19"/>
  <c r="M445" i="19"/>
  <c r="L445" i="19"/>
  <c r="J443" i="19"/>
  <c r="J442" i="19"/>
  <c r="I441" i="19"/>
  <c r="K441" i="19" s="1"/>
  <c r="I440" i="19"/>
  <c r="K440" i="19" s="1"/>
  <c r="I439" i="19"/>
  <c r="K439" i="19" s="1"/>
  <c r="I438" i="19"/>
  <c r="I437" i="19"/>
  <c r="K437" i="19" s="1"/>
  <c r="I435" i="19"/>
  <c r="K435" i="19" s="1"/>
  <c r="J434" i="19"/>
  <c r="P431" i="19"/>
  <c r="L431" i="19"/>
  <c r="L429" i="19" s="1"/>
  <c r="O429" i="19" s="1"/>
  <c r="P430" i="19"/>
  <c r="O430" i="19"/>
  <c r="N429" i="19"/>
  <c r="M429" i="19"/>
  <c r="P429" i="19" s="1"/>
  <c r="P424" i="19"/>
  <c r="N424" i="19"/>
  <c r="N421" i="19" s="1"/>
  <c r="L424" i="19"/>
  <c r="P423" i="19"/>
  <c r="O423" i="19"/>
  <c r="N422" i="19"/>
  <c r="M422" i="19"/>
  <c r="P422" i="19" s="1"/>
  <c r="M421" i="19"/>
  <c r="N420" i="19"/>
  <c r="N419" i="19" s="1"/>
  <c r="M420" i="19"/>
  <c r="P420" i="19" s="1"/>
  <c r="L420" i="19"/>
  <c r="J418" i="19"/>
  <c r="K413" i="19"/>
  <c r="K412" i="19"/>
  <c r="N410" i="19"/>
  <c r="N408" i="19" s="1"/>
  <c r="M410" i="19"/>
  <c r="M408" i="19" s="1"/>
  <c r="P408" i="19" s="1"/>
  <c r="L410" i="19"/>
  <c r="O410" i="19" s="1"/>
  <c r="P409" i="19"/>
  <c r="O409" i="19"/>
  <c r="N407" i="19"/>
  <c r="N405" i="19" s="1"/>
  <c r="M407" i="19"/>
  <c r="M405" i="19" s="1"/>
  <c r="P405" i="19" s="1"/>
  <c r="L407" i="19"/>
  <c r="O407" i="19" s="1"/>
  <c r="P406" i="19"/>
  <c r="O406" i="19"/>
  <c r="P403" i="19"/>
  <c r="O403" i="19"/>
  <c r="N403" i="19"/>
  <c r="M403" i="19"/>
  <c r="L403" i="19"/>
  <c r="J401" i="19"/>
  <c r="I401" i="19"/>
  <c r="K401" i="19" s="1"/>
  <c r="K400" i="19"/>
  <c r="K399" i="19"/>
  <c r="N397" i="19"/>
  <c r="N395" i="19" s="1"/>
  <c r="M397" i="19"/>
  <c r="P397" i="19" s="1"/>
  <c r="L397" i="19"/>
  <c r="P396" i="19"/>
  <c r="O396" i="19"/>
  <c r="N394" i="19"/>
  <c r="N392" i="19" s="1"/>
  <c r="M394" i="19"/>
  <c r="L394" i="19"/>
  <c r="P393" i="19"/>
  <c r="O393" i="19"/>
  <c r="N390" i="19"/>
  <c r="M390" i="19"/>
  <c r="P390" i="19" s="1"/>
  <c r="L390" i="19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M351" i="19" s="1"/>
  <c r="L353" i="19"/>
  <c r="P352" i="19"/>
  <c r="O352" i="19"/>
  <c r="N350" i="19"/>
  <c r="N348" i="19" s="1"/>
  <c r="M350" i="19"/>
  <c r="L350" i="19"/>
  <c r="P349" i="19"/>
  <c r="O349" i="19"/>
  <c r="N346" i="19"/>
  <c r="M346" i="19"/>
  <c r="P346" i="19" s="1"/>
  <c r="L346" i="19"/>
  <c r="J343" i="19"/>
  <c r="J342" i="19"/>
  <c r="J341" i="19"/>
  <c r="J340" i="19"/>
  <c r="I340" i="19"/>
  <c r="J338" i="19"/>
  <c r="I338" i="19"/>
  <c r="N336" i="19"/>
  <c r="M336" i="19"/>
  <c r="P336" i="19" s="1"/>
  <c r="L336" i="19"/>
  <c r="P335" i="19"/>
  <c r="O335" i="19"/>
  <c r="N333" i="19"/>
  <c r="N331" i="19" s="1"/>
  <c r="M333" i="19"/>
  <c r="L333" i="19"/>
  <c r="P332" i="19"/>
  <c r="O332" i="19"/>
  <c r="N329" i="19"/>
  <c r="M329" i="19"/>
  <c r="P329" i="19" s="1"/>
  <c r="L329" i="19"/>
  <c r="I327" i="19"/>
  <c r="I325" i="19"/>
  <c r="I314" i="19" s="1"/>
  <c r="K314" i="19" s="1"/>
  <c r="N323" i="19"/>
  <c r="N321" i="19" s="1"/>
  <c r="M323" i="19"/>
  <c r="P323" i="19" s="1"/>
  <c r="L323" i="19"/>
  <c r="L321" i="19" s="1"/>
  <c r="O321" i="19" s="1"/>
  <c r="P322" i="19"/>
  <c r="O322" i="19"/>
  <c r="N320" i="19"/>
  <c r="M320" i="19"/>
  <c r="P320" i="19" s="1"/>
  <c r="L320" i="19"/>
  <c r="O320" i="19" s="1"/>
  <c r="P319" i="19"/>
  <c r="O319" i="19"/>
  <c r="O316" i="19"/>
  <c r="N316" i="19"/>
  <c r="M316" i="19"/>
  <c r="P316" i="19" s="1"/>
  <c r="L316" i="19"/>
  <c r="J314" i="19"/>
  <c r="I312" i="19"/>
  <c r="K312" i="19" s="1"/>
  <c r="I311" i="19"/>
  <c r="K311" i="19" s="1"/>
  <c r="I310" i="19"/>
  <c r="K310" i="19" s="1"/>
  <c r="I309" i="19"/>
  <c r="K309" i="19" s="1"/>
  <c r="N306" i="19"/>
  <c r="N304" i="19" s="1"/>
  <c r="M306" i="19"/>
  <c r="P306" i="19" s="1"/>
  <c r="L306" i="19"/>
  <c r="O306" i="19" s="1"/>
  <c r="P305" i="19"/>
  <c r="O305" i="19"/>
  <c r="N303" i="19"/>
  <c r="N301" i="19" s="1"/>
  <c r="M303" i="19"/>
  <c r="M301" i="19" s="1"/>
  <c r="P301" i="19" s="1"/>
  <c r="L303" i="19"/>
  <c r="O303" i="19" s="1"/>
  <c r="P302" i="19"/>
  <c r="O302" i="19"/>
  <c r="P299" i="19"/>
  <c r="O299" i="19"/>
  <c r="N299" i="19"/>
  <c r="M299" i="19"/>
  <c r="L299" i="19"/>
  <c r="J297" i="19"/>
  <c r="I294" i="19"/>
  <c r="K294" i="19" s="1"/>
  <c r="I293" i="19"/>
  <c r="K293" i="19" s="1"/>
  <c r="I291" i="19"/>
  <c r="K291" i="19" s="1"/>
  <c r="I290" i="19"/>
  <c r="K290" i="19" s="1"/>
  <c r="I288" i="19"/>
  <c r="K288" i="19" s="1"/>
  <c r="I287" i="19"/>
  <c r="I276" i="19" s="1"/>
  <c r="K276" i="19" s="1"/>
  <c r="N285" i="19"/>
  <c r="N283" i="19" s="1"/>
  <c r="M285" i="19"/>
  <c r="P285" i="19" s="1"/>
  <c r="L285" i="19"/>
  <c r="P284" i="19"/>
  <c r="O284" i="19"/>
  <c r="N282" i="19"/>
  <c r="N280" i="19" s="1"/>
  <c r="M282" i="19"/>
  <c r="P282" i="19" s="1"/>
  <c r="L282" i="19"/>
  <c r="P281" i="19"/>
  <c r="O281" i="19"/>
  <c r="P278" i="19"/>
  <c r="N278" i="19"/>
  <c r="M278" i="19"/>
  <c r="L278" i="19"/>
  <c r="O278" i="19" s="1"/>
  <c r="J276" i="19"/>
  <c r="I271" i="19"/>
  <c r="K271" i="19" s="1"/>
  <c r="N269" i="19"/>
  <c r="N267" i="19" s="1"/>
  <c r="M269" i="19"/>
  <c r="P269" i="19" s="1"/>
  <c r="L269" i="19"/>
  <c r="O269" i="19" s="1"/>
  <c r="P268" i="19"/>
  <c r="O268" i="19"/>
  <c r="N266" i="19"/>
  <c r="M266" i="19"/>
  <c r="M264" i="19" s="1"/>
  <c r="L266" i="19"/>
  <c r="P265" i="19"/>
  <c r="O265" i="19"/>
  <c r="P262" i="19"/>
  <c r="O262" i="19"/>
  <c r="N262" i="19"/>
  <c r="M262" i="19"/>
  <c r="L262" i="19"/>
  <c r="J260" i="19"/>
  <c r="K258" i="19"/>
  <c r="K257" i="19"/>
  <c r="I255" i="19"/>
  <c r="L253" i="19"/>
  <c r="L252" i="19"/>
  <c r="L251" i="19"/>
  <c r="L250" i="19"/>
  <c r="P249" i="19"/>
  <c r="N249" i="19"/>
  <c r="J248" i="19"/>
  <c r="K247" i="19"/>
  <c r="K246" i="19"/>
  <c r="I244" i="19"/>
  <c r="L242" i="19"/>
  <c r="L241" i="19"/>
  <c r="L240" i="19"/>
  <c r="L239" i="19"/>
  <c r="P238" i="19"/>
  <c r="N238" i="19"/>
  <c r="J237" i="19"/>
  <c r="K236" i="19"/>
  <c r="J236" i="19"/>
  <c r="I236" i="19"/>
  <c r="J235" i="19"/>
  <c r="I235" i="19"/>
  <c r="K235" i="19" s="1"/>
  <c r="J233" i="19"/>
  <c r="N231" i="19"/>
  <c r="N230" i="19"/>
  <c r="N229" i="19"/>
  <c r="N228" i="19"/>
  <c r="N227" i="19"/>
  <c r="J226" i="19"/>
  <c r="I225" i="19"/>
  <c r="K225" i="19" s="1"/>
  <c r="I224" i="19"/>
  <c r="I216" i="19" s="1"/>
  <c r="I223" i="19"/>
  <c r="K223" i="19" s="1"/>
  <c r="L220" i="19"/>
  <c r="L219" i="19"/>
  <c r="L218" i="19"/>
  <c r="P217" i="19"/>
  <c r="N217" i="19"/>
  <c r="J216" i="19"/>
  <c r="I215" i="19"/>
  <c r="I208" i="19" s="1"/>
  <c r="K208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L202" i="19"/>
  <c r="L201" i="19"/>
  <c r="L200" i="19"/>
  <c r="L199" i="19"/>
  <c r="P198" i="19"/>
  <c r="N198" i="19"/>
  <c r="J197" i="19"/>
  <c r="J194" i="19"/>
  <c r="I193" i="19"/>
  <c r="K193" i="19" s="1"/>
  <c r="P191" i="19"/>
  <c r="L191" i="19"/>
  <c r="O191" i="19" s="1"/>
  <c r="J190" i="19"/>
  <c r="N189" i="19"/>
  <c r="N187" i="19" s="1"/>
  <c r="M189" i="19"/>
  <c r="L189" i="19"/>
  <c r="O189" i="19" s="1"/>
  <c r="P188" i="19"/>
  <c r="O188" i="19"/>
  <c r="N186" i="19"/>
  <c r="M186" i="19"/>
  <c r="M184" i="19" s="1"/>
  <c r="L186" i="19"/>
  <c r="L184" i="19" s="1"/>
  <c r="P185" i="19"/>
  <c r="O185" i="19"/>
  <c r="P182" i="19"/>
  <c r="N182" i="19"/>
  <c r="M182" i="19"/>
  <c r="L182" i="19"/>
  <c r="J180" i="19"/>
  <c r="J177" i="19"/>
  <c r="J164" i="19" s="1"/>
  <c r="I176" i="19"/>
  <c r="K176" i="19" s="1"/>
  <c r="J174" i="19"/>
  <c r="N173" i="19"/>
  <c r="N171" i="19" s="1"/>
  <c r="M173" i="19"/>
  <c r="P173" i="19" s="1"/>
  <c r="L173" i="19"/>
  <c r="O173" i="19" s="1"/>
  <c r="P172" i="19"/>
  <c r="O172" i="19"/>
  <c r="N170" i="19"/>
  <c r="M170" i="19"/>
  <c r="M168" i="19" s="1"/>
  <c r="L170" i="19"/>
  <c r="L168" i="19" s="1"/>
  <c r="P169" i="19"/>
  <c r="O169" i="19"/>
  <c r="O166" i="19"/>
  <c r="N166" i="19"/>
  <c r="M166" i="19"/>
  <c r="L166" i="19"/>
  <c r="I159" i="19"/>
  <c r="I148" i="19" s="1"/>
  <c r="K148" i="19" s="1"/>
  <c r="N157" i="19"/>
  <c r="N155" i="19" s="1"/>
  <c r="M157" i="19"/>
  <c r="L157" i="19"/>
  <c r="L155" i="19" s="1"/>
  <c r="O155" i="19" s="1"/>
  <c r="P156" i="19"/>
  <c r="O156" i="19"/>
  <c r="N154" i="19"/>
  <c r="M154" i="19"/>
  <c r="P154" i="19" s="1"/>
  <c r="L154" i="19"/>
  <c r="P153" i="19"/>
  <c r="O153" i="19"/>
  <c r="O150" i="19"/>
  <c r="N150" i="19"/>
  <c r="M150" i="19"/>
  <c r="P150" i="19" s="1"/>
  <c r="L150" i="19"/>
  <c r="J148" i="19"/>
  <c r="I146" i="19"/>
  <c r="I145" i="19"/>
  <c r="K145" i="19" s="1"/>
  <c r="I144" i="19"/>
  <c r="N140" i="19"/>
  <c r="N138" i="19" s="1"/>
  <c r="M140" i="19"/>
  <c r="P140" i="19" s="1"/>
  <c r="L140" i="19"/>
  <c r="L138" i="19" s="1"/>
  <c r="O138" i="19" s="1"/>
  <c r="P139" i="19"/>
  <c r="O139" i="19"/>
  <c r="N137" i="19"/>
  <c r="N135" i="19" s="1"/>
  <c r="M137" i="19"/>
  <c r="P137" i="19" s="1"/>
  <c r="L137" i="19"/>
  <c r="O137" i="19" s="1"/>
  <c r="P136" i="19"/>
  <c r="O136" i="19"/>
  <c r="P133" i="19"/>
  <c r="O133" i="19"/>
  <c r="N133" i="19"/>
  <c r="M133" i="19"/>
  <c r="L133" i="19"/>
  <c r="J130" i="19"/>
  <c r="N127" i="19"/>
  <c r="N125" i="19" s="1"/>
  <c r="M127" i="19"/>
  <c r="P127" i="19" s="1"/>
  <c r="L127" i="19"/>
  <c r="L125" i="19" s="1"/>
  <c r="O125" i="19" s="1"/>
  <c r="P126" i="19"/>
  <c r="O126" i="19"/>
  <c r="N124" i="19"/>
  <c r="M124" i="19"/>
  <c r="P124" i="19" s="1"/>
  <c r="L124" i="19"/>
  <c r="L122" i="19" s="1"/>
  <c r="O122" i="19" s="1"/>
  <c r="P123" i="19"/>
  <c r="O123" i="19"/>
  <c r="O120" i="19"/>
  <c r="N120" i="19"/>
  <c r="M120" i="19"/>
  <c r="L120" i="19"/>
  <c r="I116" i="19"/>
  <c r="K116" i="19" s="1"/>
  <c r="I115" i="19"/>
  <c r="K115" i="19" s="1"/>
  <c r="I114" i="19"/>
  <c r="K114" i="19" s="1"/>
  <c r="I113" i="19"/>
  <c r="K113" i="19" s="1"/>
  <c r="J112" i="19"/>
  <c r="J111" i="19"/>
  <c r="I111" i="19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I87" i="19" s="1"/>
  <c r="J98" i="19"/>
  <c r="J86" i="19" s="1"/>
  <c r="I98" i="19"/>
  <c r="K98" i="19" s="1"/>
  <c r="N96" i="19"/>
  <c r="N94" i="19" s="1"/>
  <c r="M96" i="19"/>
  <c r="P96" i="19" s="1"/>
  <c r="L96" i="19"/>
  <c r="O96" i="19" s="1"/>
  <c r="P95" i="19"/>
  <c r="O95" i="19"/>
  <c r="N93" i="19"/>
  <c r="M93" i="19"/>
  <c r="L93" i="19"/>
  <c r="L91" i="19" s="1"/>
  <c r="P92" i="19"/>
  <c r="O92" i="19"/>
  <c r="P89" i="19"/>
  <c r="N89" i="19"/>
  <c r="M89" i="19"/>
  <c r="L89" i="19"/>
  <c r="J87" i="19"/>
  <c r="I84" i="19"/>
  <c r="K84" i="19" s="1"/>
  <c r="I83" i="19"/>
  <c r="K83" i="19" s="1"/>
  <c r="I82" i="19"/>
  <c r="K82" i="19" s="1"/>
  <c r="I81" i="19"/>
  <c r="K81" i="19" s="1"/>
  <c r="I80" i="19"/>
  <c r="I79" i="19"/>
  <c r="I78" i="19"/>
  <c r="K78" i="19" s="1"/>
  <c r="J77" i="19"/>
  <c r="J76" i="19"/>
  <c r="N74" i="19"/>
  <c r="N72" i="19" s="1"/>
  <c r="M74" i="19"/>
  <c r="M72" i="19" s="1"/>
  <c r="P72" i="19" s="1"/>
  <c r="L74" i="19"/>
  <c r="O74" i="19" s="1"/>
  <c r="P73" i="19"/>
  <c r="O73" i="19"/>
  <c r="N71" i="19"/>
  <c r="N69" i="19" s="1"/>
  <c r="M71" i="19"/>
  <c r="L71" i="19"/>
  <c r="L69" i="19" s="1"/>
  <c r="P70" i="19"/>
  <c r="O70" i="19"/>
  <c r="P67" i="19"/>
  <c r="N67" i="19"/>
  <c r="M67" i="19"/>
  <c r="L67" i="19"/>
  <c r="J65" i="19"/>
  <c r="J64" i="19"/>
  <c r="N61" i="19"/>
  <c r="N59" i="19" s="1"/>
  <c r="M61" i="19"/>
  <c r="P61" i="19" s="1"/>
  <c r="L61" i="19"/>
  <c r="P60" i="19"/>
  <c r="O60" i="19"/>
  <c r="N58" i="19"/>
  <c r="N56" i="19" s="1"/>
  <c r="M58" i="19"/>
  <c r="L58" i="19"/>
  <c r="L56" i="19" s="1"/>
  <c r="P57" i="19"/>
  <c r="O57" i="19"/>
  <c r="N54" i="19"/>
  <c r="M54" i="19"/>
  <c r="P54" i="19" s="1"/>
  <c r="L54" i="19"/>
  <c r="O54" i="19" s="1"/>
  <c r="N49" i="19"/>
  <c r="N47" i="19" s="1"/>
  <c r="M49" i="19"/>
  <c r="M47" i="19" s="1"/>
  <c r="P47" i="19" s="1"/>
  <c r="L49" i="19"/>
  <c r="O49" i="19" s="1"/>
  <c r="P48" i="19"/>
  <c r="O48" i="19"/>
  <c r="N46" i="19"/>
  <c r="N44" i="19" s="1"/>
  <c r="M46" i="19"/>
  <c r="L46" i="19"/>
  <c r="P45" i="19"/>
  <c r="O45" i="19"/>
  <c r="P42" i="19"/>
  <c r="N42" i="19"/>
  <c r="M42" i="19"/>
  <c r="L42" i="19"/>
  <c r="O42" i="19" s="1"/>
  <c r="N36" i="19"/>
  <c r="M36" i="19"/>
  <c r="P36" i="19" s="1"/>
  <c r="N35" i="19"/>
  <c r="M35" i="19"/>
  <c r="L35" i="19"/>
  <c r="O35" i="19" s="1"/>
  <c r="P33" i="19"/>
  <c r="N33" i="19"/>
  <c r="N30" i="19" s="1"/>
  <c r="M33" i="19"/>
  <c r="O32" i="19"/>
  <c r="N32" i="19"/>
  <c r="M32" i="19"/>
  <c r="M31" i="19" s="1"/>
  <c r="P31" i="19" s="1"/>
  <c r="L32" i="19"/>
  <c r="N31" i="19"/>
  <c r="N29" i="19"/>
  <c r="L29" i="19"/>
  <c r="O29" i="19" s="1"/>
  <c r="O25" i="19"/>
  <c r="N25" i="19"/>
  <c r="N15" i="19" s="1"/>
  <c r="M25" i="19"/>
  <c r="P25" i="19" s="1"/>
  <c r="L25" i="19"/>
  <c r="P22" i="19"/>
  <c r="N22" i="19"/>
  <c r="N19" i="19" s="1"/>
  <c r="M22" i="19"/>
  <c r="L22" i="19"/>
  <c r="M19" i="19"/>
  <c r="L15" i="19"/>
  <c r="O15" i="19" s="1"/>
  <c r="N12" i="19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N815" i="18"/>
  <c r="M815" i="18"/>
  <c r="P815" i="18" s="1"/>
  <c r="L815" i="18"/>
  <c r="O815" i="18" s="1"/>
  <c r="P810" i="18"/>
  <c r="O810" i="18"/>
  <c r="N810" i="18"/>
  <c r="N808" i="18" s="1"/>
  <c r="P809" i="18"/>
  <c r="O809" i="18"/>
  <c r="P808" i="18"/>
  <c r="O808" i="18"/>
  <c r="M808" i="18"/>
  <c r="L808" i="18"/>
  <c r="P807" i="18"/>
  <c r="O807" i="18"/>
  <c r="N807" i="18"/>
  <c r="M807" i="18"/>
  <c r="L807" i="18"/>
  <c r="O806" i="18"/>
  <c r="N806" i="18"/>
  <c r="N805" i="18" s="1"/>
  <c r="M806" i="18"/>
  <c r="P806" i="18" s="1"/>
  <c r="L806" i="18"/>
  <c r="M805" i="18"/>
  <c r="P805" i="18" s="1"/>
  <c r="L805" i="18"/>
  <c r="O805" i="18" s="1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O796" i="18"/>
  <c r="N796" i="18"/>
  <c r="M796" i="18"/>
  <c r="P796" i="18" s="1"/>
  <c r="L796" i="18"/>
  <c r="P791" i="18"/>
  <c r="N791" i="18"/>
  <c r="N788" i="18" s="1"/>
  <c r="L791" i="18"/>
  <c r="O791" i="18" s="1"/>
  <c r="P790" i="18"/>
  <c r="O790" i="18"/>
  <c r="N789" i="18"/>
  <c r="M789" i="18"/>
  <c r="P789" i="18" s="1"/>
  <c r="M788" i="18"/>
  <c r="M786" i="18" s="1"/>
  <c r="P786" i="18" s="1"/>
  <c r="P787" i="18"/>
  <c r="N787" i="18"/>
  <c r="N786" i="18" s="1"/>
  <c r="M787" i="18"/>
  <c r="L787" i="18"/>
  <c r="P782" i="18"/>
  <c r="O782" i="18"/>
  <c r="P781" i="18"/>
  <c r="O781" i="18"/>
  <c r="P780" i="18"/>
  <c r="O780" i="18"/>
  <c r="N780" i="18"/>
  <c r="M780" i="18"/>
  <c r="L780" i="18"/>
  <c r="P775" i="18"/>
  <c r="O775" i="18"/>
  <c r="N775" i="18"/>
  <c r="P774" i="18"/>
  <c r="O774" i="18"/>
  <c r="O773" i="18"/>
  <c r="N773" i="18"/>
  <c r="M773" i="18"/>
  <c r="P773" i="18" s="1"/>
  <c r="L773" i="18"/>
  <c r="N772" i="18"/>
  <c r="N770" i="18" s="1"/>
  <c r="M772" i="18"/>
  <c r="P772" i="18" s="1"/>
  <c r="L772" i="18"/>
  <c r="O772" i="18" s="1"/>
  <c r="N771" i="18"/>
  <c r="M771" i="18"/>
  <c r="M770" i="18" s="1"/>
  <c r="P770" i="18" s="1"/>
  <c r="L771" i="18"/>
  <c r="O771" i="18" s="1"/>
  <c r="K769" i="18"/>
  <c r="J769" i="18"/>
  <c r="P766" i="18"/>
  <c r="O766" i="18"/>
  <c r="P765" i="18"/>
  <c r="O765" i="18"/>
  <c r="P764" i="18"/>
  <c r="O764" i="18"/>
  <c r="N764" i="18"/>
  <c r="M764" i="18"/>
  <c r="L764" i="18"/>
  <c r="P759" i="18"/>
  <c r="O759" i="18"/>
  <c r="N759" i="18"/>
  <c r="P758" i="18"/>
  <c r="O758" i="18"/>
  <c r="O757" i="18"/>
  <c r="N757" i="18"/>
  <c r="M757" i="18"/>
  <c r="P757" i="18" s="1"/>
  <c r="L757" i="18"/>
  <c r="N756" i="18"/>
  <c r="N754" i="18" s="1"/>
  <c r="M756" i="18"/>
  <c r="P756" i="18" s="1"/>
  <c r="L756" i="18"/>
  <c r="O756" i="18" s="1"/>
  <c r="N755" i="18"/>
  <c r="M755" i="18"/>
  <c r="M754" i="18" s="1"/>
  <c r="P754" i="18" s="1"/>
  <c r="L755" i="18"/>
  <c r="O755" i="18" s="1"/>
  <c r="K753" i="18"/>
  <c r="J753" i="18"/>
  <c r="P749" i="18"/>
  <c r="O749" i="18"/>
  <c r="P748" i="18"/>
  <c r="O748" i="18"/>
  <c r="P747" i="18"/>
  <c r="O747" i="18"/>
  <c r="N747" i="18"/>
  <c r="M747" i="18"/>
  <c r="L747" i="18"/>
  <c r="P742" i="18"/>
  <c r="O742" i="18"/>
  <c r="N742" i="18"/>
  <c r="N739" i="18" s="1"/>
  <c r="N737" i="18" s="1"/>
  <c r="P741" i="18"/>
  <c r="O741" i="18"/>
  <c r="O740" i="18"/>
  <c r="N740" i="18"/>
  <c r="M740" i="18"/>
  <c r="P740" i="18" s="1"/>
  <c r="L740" i="18"/>
  <c r="M739" i="18"/>
  <c r="P739" i="18" s="1"/>
  <c r="L739" i="18"/>
  <c r="O739" i="18" s="1"/>
  <c r="N738" i="18"/>
  <c r="M738" i="18"/>
  <c r="M737" i="18" s="1"/>
  <c r="P737" i="18" s="1"/>
  <c r="L738" i="18"/>
  <c r="O738" i="18" s="1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P695" i="18"/>
  <c r="O695" i="18"/>
  <c r="N695" i="18"/>
  <c r="M695" i="18"/>
  <c r="L695" i="18"/>
  <c r="P690" i="18"/>
  <c r="N690" i="18"/>
  <c r="N687" i="18" s="1"/>
  <c r="L690" i="18"/>
  <c r="L688" i="18" s="1"/>
  <c r="M688" i="18"/>
  <c r="P688" i="18" s="1"/>
  <c r="M687" i="18"/>
  <c r="M685" i="18" s="1"/>
  <c r="P685" i="18" s="1"/>
  <c r="P686" i="18"/>
  <c r="N686" i="18"/>
  <c r="N685" i="18" s="1"/>
  <c r="M686" i="18"/>
  <c r="L686" i="18"/>
  <c r="J679" i="18"/>
  <c r="J678" i="18"/>
  <c r="I678" i="18"/>
  <c r="K678" i="18" s="1"/>
  <c r="J675" i="18"/>
  <c r="I671" i="18"/>
  <c r="K671" i="18" s="1"/>
  <c r="I670" i="18"/>
  <c r="K670" i="18" s="1"/>
  <c r="J669" i="18"/>
  <c r="J654" i="18" s="1"/>
  <c r="I669" i="18"/>
  <c r="K673" i="18" s="1"/>
  <c r="P667" i="18"/>
  <c r="O667" i="18"/>
  <c r="P666" i="18"/>
  <c r="O666" i="18"/>
  <c r="P665" i="18"/>
  <c r="N665" i="18"/>
  <c r="M665" i="18"/>
  <c r="L665" i="18"/>
  <c r="O665" i="18" s="1"/>
  <c r="P660" i="18"/>
  <c r="N660" i="18"/>
  <c r="L660" i="18"/>
  <c r="L658" i="18" s="1"/>
  <c r="O658" i="18" s="1"/>
  <c r="P659" i="18"/>
  <c r="O659" i="18"/>
  <c r="P658" i="18"/>
  <c r="N658" i="18"/>
  <c r="M658" i="18"/>
  <c r="P657" i="18"/>
  <c r="N657" i="18"/>
  <c r="M657" i="18"/>
  <c r="O656" i="18"/>
  <c r="N656" i="18"/>
  <c r="N655" i="18" s="1"/>
  <c r="M656" i="18"/>
  <c r="P656" i="18" s="1"/>
  <c r="L656" i="18"/>
  <c r="M655" i="18"/>
  <c r="P655" i="18" s="1"/>
  <c r="K652" i="18"/>
  <c r="J652" i="18"/>
  <c r="J651" i="18"/>
  <c r="J628" i="18" s="1"/>
  <c r="I651" i="18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N639" i="18"/>
  <c r="M639" i="18"/>
  <c r="P639" i="18" s="1"/>
  <c r="P634" i="18"/>
  <c r="N634" i="18"/>
  <c r="L634" i="18"/>
  <c r="O634" i="18" s="1"/>
  <c r="P633" i="18"/>
  <c r="O633" i="18"/>
  <c r="N632" i="18"/>
  <c r="M632" i="18"/>
  <c r="P632" i="18" s="1"/>
  <c r="P631" i="18"/>
  <c r="N631" i="18"/>
  <c r="M631" i="18"/>
  <c r="P630" i="18"/>
  <c r="O630" i="18"/>
  <c r="N630" i="18"/>
  <c r="M630" i="18"/>
  <c r="M629" i="18" s="1"/>
  <c r="P629" i="18" s="1"/>
  <c r="L630" i="18"/>
  <c r="N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4" i="18"/>
  <c r="I594" i="18"/>
  <c r="K594" i="18" s="1"/>
  <c r="J593" i="18"/>
  <c r="I593" i="18"/>
  <c r="J592" i="18"/>
  <c r="J583" i="18"/>
  <c r="J582" i="18"/>
  <c r="J576" i="18" s="1"/>
  <c r="J577" i="18"/>
  <c r="I577" i="18"/>
  <c r="K577" i="18" s="1"/>
  <c r="I576" i="18"/>
  <c r="I559" i="18" s="1"/>
  <c r="I543" i="18" s="1"/>
  <c r="J569" i="18"/>
  <c r="I569" i="18"/>
  <c r="K569" i="18" s="1"/>
  <c r="J568" i="18"/>
  <c r="I568" i="18"/>
  <c r="K568" i="18" s="1"/>
  <c r="J561" i="18"/>
  <c r="I561" i="18"/>
  <c r="K561" i="18" s="1"/>
  <c r="J560" i="18"/>
  <c r="I560" i="18"/>
  <c r="K560" i="18" s="1"/>
  <c r="P557" i="18"/>
  <c r="L557" i="18"/>
  <c r="L555" i="18" s="1"/>
  <c r="O555" i="18" s="1"/>
  <c r="P556" i="18"/>
  <c r="O556" i="18"/>
  <c r="P555" i="18"/>
  <c r="N555" i="18"/>
  <c r="M555" i="18"/>
  <c r="P549" i="18"/>
  <c r="N549" i="18"/>
  <c r="L549" i="18"/>
  <c r="P548" i="18"/>
  <c r="O548" i="18"/>
  <c r="P547" i="18"/>
  <c r="N547" i="18"/>
  <c r="M547" i="18"/>
  <c r="L547" i="18"/>
  <c r="N546" i="18"/>
  <c r="M546" i="18"/>
  <c r="P546" i="18" s="1"/>
  <c r="N545" i="18"/>
  <c r="N544" i="18" s="1"/>
  <c r="M545" i="18"/>
  <c r="P545" i="18" s="1"/>
  <c r="L545" i="18"/>
  <c r="O545" i="18" s="1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K537" i="18" s="1"/>
  <c r="P535" i="18"/>
  <c r="L535" i="18"/>
  <c r="O535" i="18" s="1"/>
  <c r="P534" i="18"/>
  <c r="O534" i="18"/>
  <c r="N533" i="18"/>
  <c r="M533" i="18"/>
  <c r="P533" i="18" s="1"/>
  <c r="P528" i="18"/>
  <c r="N528" i="18"/>
  <c r="N525" i="18" s="1"/>
  <c r="L528" i="18"/>
  <c r="P527" i="18"/>
  <c r="O527" i="18"/>
  <c r="N526" i="18"/>
  <c r="M526" i="18"/>
  <c r="P526" i="18" s="1"/>
  <c r="M525" i="18"/>
  <c r="M523" i="18" s="1"/>
  <c r="P523" i="18" s="1"/>
  <c r="P524" i="18"/>
  <c r="N524" i="18"/>
  <c r="M524" i="18"/>
  <c r="L524" i="18"/>
  <c r="K517" i="18"/>
  <c r="J517" i="18"/>
  <c r="J501" i="18" s="1"/>
  <c r="K516" i="18"/>
  <c r="P514" i="18"/>
  <c r="O514" i="18"/>
  <c r="P513" i="18"/>
  <c r="O513" i="18"/>
  <c r="N512" i="18"/>
  <c r="M512" i="18"/>
  <c r="P512" i="18" s="1"/>
  <c r="L512" i="18"/>
  <c r="O512" i="18" s="1"/>
  <c r="P507" i="18"/>
  <c r="O507" i="18"/>
  <c r="N507" i="18"/>
  <c r="N504" i="18" s="1"/>
  <c r="P506" i="18"/>
  <c r="O506" i="18"/>
  <c r="P505" i="18"/>
  <c r="N505" i="18"/>
  <c r="M505" i="18"/>
  <c r="L505" i="18"/>
  <c r="O505" i="18" s="1"/>
  <c r="P504" i="18"/>
  <c r="O504" i="18"/>
  <c r="M504" i="18"/>
  <c r="L504" i="18"/>
  <c r="P503" i="18"/>
  <c r="O503" i="18"/>
  <c r="N503" i="18"/>
  <c r="M503" i="18"/>
  <c r="L503" i="18"/>
  <c r="L502" i="18" s="1"/>
  <c r="O502" i="18" s="1"/>
  <c r="N502" i="18"/>
  <c r="M502" i="18"/>
  <c r="P502" i="18" s="1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P472" i="18"/>
  <c r="N472" i="18"/>
  <c r="N469" i="18" s="1"/>
  <c r="L472" i="18"/>
  <c r="O472" i="18" s="1"/>
  <c r="P471" i="18"/>
  <c r="O471" i="18"/>
  <c r="P470" i="18"/>
  <c r="N470" i="18"/>
  <c r="M470" i="18"/>
  <c r="L470" i="18"/>
  <c r="O470" i="18" s="1"/>
  <c r="P469" i="18"/>
  <c r="M469" i="18"/>
  <c r="P468" i="18"/>
  <c r="O468" i="18"/>
  <c r="N468" i="18"/>
  <c r="N467" i="18" s="1"/>
  <c r="M468" i="18"/>
  <c r="L468" i="18"/>
  <c r="M467" i="18"/>
  <c r="P467" i="18" s="1"/>
  <c r="J466" i="18"/>
  <c r="I466" i="18"/>
  <c r="K466" i="18" s="1"/>
  <c r="J465" i="18"/>
  <c r="I465" i="18"/>
  <c r="I464" i="18"/>
  <c r="I463" i="18"/>
  <c r="I462" i="18"/>
  <c r="K462" i="18" s="1"/>
  <c r="I460" i="18"/>
  <c r="K460" i="18" s="1"/>
  <c r="K458" i="18"/>
  <c r="P456" i="18"/>
  <c r="L456" i="18"/>
  <c r="O456" i="18" s="1"/>
  <c r="P455" i="18"/>
  <c r="O455" i="18"/>
  <c r="N454" i="18"/>
  <c r="M454" i="18"/>
  <c r="P454" i="18" s="1"/>
  <c r="P449" i="18"/>
  <c r="N449" i="18"/>
  <c r="L449" i="18"/>
  <c r="O449" i="18" s="1"/>
  <c r="P448" i="18"/>
  <c r="O448" i="18"/>
  <c r="N447" i="18"/>
  <c r="M447" i="18"/>
  <c r="P447" i="18" s="1"/>
  <c r="P446" i="18"/>
  <c r="N446" i="18"/>
  <c r="M446" i="18"/>
  <c r="P445" i="18"/>
  <c r="O445" i="18"/>
  <c r="N445" i="18"/>
  <c r="M445" i="18"/>
  <c r="M444" i="18" s="1"/>
  <c r="L445" i="18"/>
  <c r="P444" i="18"/>
  <c r="N444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K435" i="18" s="1"/>
  <c r="J434" i="18"/>
  <c r="P431" i="18"/>
  <c r="L431" i="18"/>
  <c r="P430" i="18"/>
  <c r="O430" i="18"/>
  <c r="N429" i="18"/>
  <c r="M429" i="18"/>
  <c r="P429" i="18" s="1"/>
  <c r="P424" i="18"/>
  <c r="N424" i="18"/>
  <c r="L424" i="18"/>
  <c r="O424" i="18" s="1"/>
  <c r="P423" i="18"/>
  <c r="O423" i="18"/>
  <c r="N422" i="18"/>
  <c r="M422" i="18"/>
  <c r="P422" i="18" s="1"/>
  <c r="P421" i="18"/>
  <c r="N421" i="18"/>
  <c r="M421" i="18"/>
  <c r="P420" i="18"/>
  <c r="O420" i="18"/>
  <c r="N420" i="18"/>
  <c r="N419" i="18" s="1"/>
  <c r="M420" i="18"/>
  <c r="L420" i="18"/>
  <c r="M419" i="18"/>
  <c r="P419" i="18" s="1"/>
  <c r="J418" i="18"/>
  <c r="K413" i="18"/>
  <c r="K412" i="18"/>
  <c r="N410" i="18"/>
  <c r="M410" i="18"/>
  <c r="M408" i="18" s="1"/>
  <c r="P408" i="18" s="1"/>
  <c r="L410" i="18"/>
  <c r="L408" i="18" s="1"/>
  <c r="O408" i="18" s="1"/>
  <c r="P409" i="18"/>
  <c r="O409" i="18"/>
  <c r="N407" i="18"/>
  <c r="N405" i="18" s="1"/>
  <c r="M407" i="18"/>
  <c r="M405" i="18" s="1"/>
  <c r="P405" i="18" s="1"/>
  <c r="L407" i="18"/>
  <c r="P406" i="18"/>
  <c r="O406" i="18"/>
  <c r="N403" i="18"/>
  <c r="M403" i="18"/>
  <c r="P403" i="18" s="1"/>
  <c r="L403" i="18"/>
  <c r="O403" i="18" s="1"/>
  <c r="K401" i="18"/>
  <c r="J401" i="18"/>
  <c r="I401" i="18"/>
  <c r="K400" i="18"/>
  <c r="K399" i="18"/>
  <c r="N397" i="18"/>
  <c r="N395" i="18" s="1"/>
  <c r="M397" i="18"/>
  <c r="M395" i="18" s="1"/>
  <c r="P395" i="18" s="1"/>
  <c r="L397" i="18"/>
  <c r="O397" i="18" s="1"/>
  <c r="P396" i="18"/>
  <c r="O396" i="18"/>
  <c r="N394" i="18"/>
  <c r="N392" i="18" s="1"/>
  <c r="M394" i="18"/>
  <c r="M392" i="18" s="1"/>
  <c r="P392" i="18" s="1"/>
  <c r="L394" i="18"/>
  <c r="L392" i="18" s="1"/>
  <c r="O392" i="18" s="1"/>
  <c r="P393" i="18"/>
  <c r="O393" i="18"/>
  <c r="P390" i="18"/>
  <c r="O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L351" i="18" s="1"/>
  <c r="P352" i="18"/>
  <c r="O352" i="18"/>
  <c r="N350" i="18"/>
  <c r="N348" i="18" s="1"/>
  <c r="M350" i="18"/>
  <c r="M348" i="18" s="1"/>
  <c r="L350" i="18"/>
  <c r="L348" i="18" s="1"/>
  <c r="P349" i="18"/>
  <c r="O349" i="18"/>
  <c r="O346" i="18"/>
  <c r="N346" i="18"/>
  <c r="M346" i="18"/>
  <c r="P346" i="18" s="1"/>
  <c r="L346" i="18"/>
  <c r="J343" i="18"/>
  <c r="J342" i="18"/>
  <c r="J341" i="18"/>
  <c r="J340" i="18"/>
  <c r="I340" i="18"/>
  <c r="J338" i="18"/>
  <c r="I338" i="18"/>
  <c r="N336" i="18"/>
  <c r="N334" i="18" s="1"/>
  <c r="M336" i="18"/>
  <c r="M334" i="18" s="1"/>
  <c r="P334" i="18" s="1"/>
  <c r="L336" i="18"/>
  <c r="O336" i="18" s="1"/>
  <c r="P335" i="18"/>
  <c r="O335" i="18"/>
  <c r="N333" i="18"/>
  <c r="M333" i="18"/>
  <c r="L333" i="18"/>
  <c r="P332" i="18"/>
  <c r="O332" i="18"/>
  <c r="P329" i="18"/>
  <c r="O329" i="18"/>
  <c r="N329" i="18"/>
  <c r="M329" i="18"/>
  <c r="L329" i="18"/>
  <c r="I327" i="18"/>
  <c r="I325" i="18"/>
  <c r="I314" i="18" s="1"/>
  <c r="K314" i="18" s="1"/>
  <c r="N323" i="18"/>
  <c r="N321" i="18" s="1"/>
  <c r="M323" i="18"/>
  <c r="P323" i="18" s="1"/>
  <c r="L323" i="18"/>
  <c r="O323" i="18" s="1"/>
  <c r="P322" i="18"/>
  <c r="O322" i="18"/>
  <c r="N320" i="18"/>
  <c r="N318" i="18" s="1"/>
  <c r="M320" i="18"/>
  <c r="M318" i="18" s="1"/>
  <c r="P318" i="18" s="1"/>
  <c r="L320" i="18"/>
  <c r="O320" i="18" s="1"/>
  <c r="P319" i="18"/>
  <c r="O319" i="18"/>
  <c r="P316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I297" i="18" s="1"/>
  <c r="K297" i="18" s="1"/>
  <c r="N306" i="18"/>
  <c r="M306" i="18"/>
  <c r="P306" i="18" s="1"/>
  <c r="L306" i="18"/>
  <c r="P305" i="18"/>
  <c r="O305" i="18"/>
  <c r="N303" i="18"/>
  <c r="N301" i="18" s="1"/>
  <c r="M303" i="18"/>
  <c r="P303" i="18" s="1"/>
  <c r="L303" i="18"/>
  <c r="L301" i="18" s="1"/>
  <c r="O301" i="18" s="1"/>
  <c r="P302" i="18"/>
  <c r="O302" i="18"/>
  <c r="N299" i="18"/>
  <c r="M299" i="18"/>
  <c r="P299" i="18" s="1"/>
  <c r="L299" i="18"/>
  <c r="O299" i="18" s="1"/>
  <c r="J297" i="18"/>
  <c r="I294" i="18"/>
  <c r="K294" i="18" s="1"/>
  <c r="I293" i="18"/>
  <c r="K293" i="18" s="1"/>
  <c r="I291" i="18"/>
  <c r="K291" i="18" s="1"/>
  <c r="I290" i="18"/>
  <c r="K290" i="18" s="1"/>
  <c r="I288" i="18"/>
  <c r="I287" i="18"/>
  <c r="N285" i="18"/>
  <c r="M285" i="18"/>
  <c r="L285" i="18"/>
  <c r="L283" i="18" s="1"/>
  <c r="O283" i="18" s="1"/>
  <c r="P284" i="18"/>
  <c r="O284" i="18"/>
  <c r="N282" i="18"/>
  <c r="N280" i="18" s="1"/>
  <c r="M282" i="18"/>
  <c r="L282" i="18"/>
  <c r="P281" i="18"/>
  <c r="O281" i="18"/>
  <c r="P278" i="18"/>
  <c r="N278" i="18"/>
  <c r="M278" i="18"/>
  <c r="L278" i="18"/>
  <c r="J276" i="18"/>
  <c r="I271" i="18"/>
  <c r="K271" i="18" s="1"/>
  <c r="N269" i="18"/>
  <c r="N267" i="18" s="1"/>
  <c r="M269" i="18"/>
  <c r="P269" i="18" s="1"/>
  <c r="L269" i="18"/>
  <c r="P268" i="18"/>
  <c r="O268" i="18"/>
  <c r="N266" i="18"/>
  <c r="N264" i="18" s="1"/>
  <c r="M266" i="18"/>
  <c r="M264" i="18" s="1"/>
  <c r="L266" i="18"/>
  <c r="P265" i="18"/>
  <c r="O265" i="18"/>
  <c r="O262" i="18"/>
  <c r="N262" i="18"/>
  <c r="M262" i="18"/>
  <c r="P262" i="18" s="1"/>
  <c r="L262" i="18"/>
  <c r="J260" i="18"/>
  <c r="K258" i="18"/>
  <c r="K257" i="18"/>
  <c r="I255" i="18"/>
  <c r="I248" i="18" s="1"/>
  <c r="K248" i="18" s="1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J236" i="18"/>
  <c r="I236" i="18"/>
  <c r="K236" i="18" s="1"/>
  <c r="J235" i="18"/>
  <c r="I235" i="18"/>
  <c r="K235" i="18" s="1"/>
  <c r="J233" i="18"/>
  <c r="N231" i="18"/>
  <c r="N230" i="18"/>
  <c r="N229" i="18"/>
  <c r="N228" i="18"/>
  <c r="J226" i="18"/>
  <c r="J180" i="18" s="1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I208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I197" i="18" s="1"/>
  <c r="K197" i="18" s="1"/>
  <c r="L202" i="18"/>
  <c r="L201" i="18"/>
  <c r="L200" i="18"/>
  <c r="L199" i="18"/>
  <c r="P198" i="18"/>
  <c r="N198" i="18"/>
  <c r="J197" i="18"/>
  <c r="J194" i="18"/>
  <c r="I193" i="18"/>
  <c r="K193" i="18" s="1"/>
  <c r="P191" i="18"/>
  <c r="L191" i="18"/>
  <c r="O191" i="18" s="1"/>
  <c r="J190" i="18"/>
  <c r="N189" i="18"/>
  <c r="N187" i="18" s="1"/>
  <c r="M189" i="18"/>
  <c r="P189" i="18" s="1"/>
  <c r="L189" i="18"/>
  <c r="P188" i="18"/>
  <c r="O188" i="18"/>
  <c r="N186" i="18"/>
  <c r="N184" i="18" s="1"/>
  <c r="M186" i="18"/>
  <c r="M184" i="18" s="1"/>
  <c r="L186" i="18"/>
  <c r="P185" i="18"/>
  <c r="O185" i="18"/>
  <c r="O182" i="18"/>
  <c r="N182" i="18"/>
  <c r="M182" i="18"/>
  <c r="L182" i="18"/>
  <c r="J177" i="18"/>
  <c r="I176" i="18"/>
  <c r="J174" i="18"/>
  <c r="J164" i="18" s="1"/>
  <c r="N173" i="18"/>
  <c r="N171" i="18" s="1"/>
  <c r="M173" i="18"/>
  <c r="P173" i="18" s="1"/>
  <c r="L173" i="18"/>
  <c r="L171" i="18" s="1"/>
  <c r="O171" i="18" s="1"/>
  <c r="P172" i="18"/>
  <c r="O172" i="18"/>
  <c r="N170" i="18"/>
  <c r="N168" i="18" s="1"/>
  <c r="M170" i="18"/>
  <c r="M168" i="18" s="1"/>
  <c r="L170" i="18"/>
  <c r="L168" i="18" s="1"/>
  <c r="P169" i="18"/>
  <c r="O169" i="18"/>
  <c r="O166" i="18"/>
  <c r="N166" i="18"/>
  <c r="M166" i="18"/>
  <c r="P166" i="18" s="1"/>
  <c r="L166" i="18"/>
  <c r="I159" i="18"/>
  <c r="N157" i="18"/>
  <c r="N155" i="18" s="1"/>
  <c r="M157" i="18"/>
  <c r="P157" i="18" s="1"/>
  <c r="L157" i="18"/>
  <c r="O157" i="18" s="1"/>
  <c r="P156" i="18"/>
  <c r="O156" i="18"/>
  <c r="N154" i="18"/>
  <c r="N152" i="18" s="1"/>
  <c r="M154" i="18"/>
  <c r="P154" i="18" s="1"/>
  <c r="L154" i="18"/>
  <c r="O154" i="18" s="1"/>
  <c r="P153" i="18"/>
  <c r="O153" i="18"/>
  <c r="O150" i="18"/>
  <c r="N150" i="18"/>
  <c r="M150" i="18"/>
  <c r="L150" i="18"/>
  <c r="J148" i="18"/>
  <c r="I146" i="18"/>
  <c r="K146" i="18" s="1"/>
  <c r="I145" i="18"/>
  <c r="I143" i="18" s="1"/>
  <c r="K143" i="18" s="1"/>
  <c r="I144" i="18"/>
  <c r="N140" i="18"/>
  <c r="N138" i="18" s="1"/>
  <c r="M140" i="18"/>
  <c r="L140" i="18"/>
  <c r="O140" i="18" s="1"/>
  <c r="P139" i="18"/>
  <c r="O139" i="18"/>
  <c r="N137" i="18"/>
  <c r="N135" i="18" s="1"/>
  <c r="M137" i="18"/>
  <c r="P137" i="18" s="1"/>
  <c r="L137" i="18"/>
  <c r="P136" i="18"/>
  <c r="O136" i="18"/>
  <c r="P133" i="18"/>
  <c r="N133" i="18"/>
  <c r="M133" i="18"/>
  <c r="L133" i="18"/>
  <c r="J130" i="18"/>
  <c r="N127" i="18"/>
  <c r="M127" i="18"/>
  <c r="L127" i="18"/>
  <c r="L125" i="18" s="1"/>
  <c r="P126" i="18"/>
  <c r="O126" i="18"/>
  <c r="N124" i="18"/>
  <c r="N122" i="18" s="1"/>
  <c r="M124" i="18"/>
  <c r="P124" i="18" s="1"/>
  <c r="L124" i="18"/>
  <c r="O124" i="18" s="1"/>
  <c r="P123" i="18"/>
  <c r="O123" i="18"/>
  <c r="P120" i="18"/>
  <c r="O120" i="18"/>
  <c r="N120" i="18"/>
  <c r="M120" i="18"/>
  <c r="L120" i="18"/>
  <c r="J118" i="18"/>
  <c r="K118" i="18" s="1"/>
  <c r="I116" i="18"/>
  <c r="K116" i="18" s="1"/>
  <c r="I115" i="18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J98" i="18"/>
  <c r="I98" i="18"/>
  <c r="K98" i="18" s="1"/>
  <c r="N96" i="18"/>
  <c r="N94" i="18" s="1"/>
  <c r="M96" i="18"/>
  <c r="P96" i="18" s="1"/>
  <c r="L96" i="18"/>
  <c r="O96" i="18" s="1"/>
  <c r="P95" i="18"/>
  <c r="O95" i="18"/>
  <c r="N93" i="18"/>
  <c r="N91" i="18" s="1"/>
  <c r="M93" i="18"/>
  <c r="M91" i="18" s="1"/>
  <c r="L93" i="18"/>
  <c r="L91" i="18" s="1"/>
  <c r="P92" i="18"/>
  <c r="O92" i="18"/>
  <c r="O89" i="18"/>
  <c r="N89" i="18"/>
  <c r="M89" i="18"/>
  <c r="P89" i="18" s="1"/>
  <c r="L89" i="18"/>
  <c r="J86" i="18"/>
  <c r="I84" i="18"/>
  <c r="K84" i="18" s="1"/>
  <c r="I83" i="18"/>
  <c r="K83" i="18" s="1"/>
  <c r="I82" i="18"/>
  <c r="K82" i="18" s="1"/>
  <c r="I81" i="18"/>
  <c r="I80" i="18"/>
  <c r="K80" i="18" s="1"/>
  <c r="I79" i="18"/>
  <c r="K79" i="18" s="1"/>
  <c r="I78" i="18"/>
  <c r="K78" i="18" s="1"/>
  <c r="J77" i="18"/>
  <c r="J65" i="18" s="1"/>
  <c r="J76" i="18"/>
  <c r="N74" i="18"/>
  <c r="N72" i="18" s="1"/>
  <c r="M74" i="18"/>
  <c r="M72" i="18" s="1"/>
  <c r="P72" i="18" s="1"/>
  <c r="L74" i="18"/>
  <c r="O74" i="18" s="1"/>
  <c r="P73" i="18"/>
  <c r="O73" i="18"/>
  <c r="N71" i="18"/>
  <c r="M71" i="18"/>
  <c r="M69" i="18" s="1"/>
  <c r="L71" i="18"/>
  <c r="P70" i="18"/>
  <c r="O70" i="18"/>
  <c r="N67" i="18"/>
  <c r="M67" i="18"/>
  <c r="L67" i="18"/>
  <c r="J64" i="18"/>
  <c r="N61" i="18"/>
  <c r="M61" i="18"/>
  <c r="M59" i="18" s="1"/>
  <c r="L61" i="18"/>
  <c r="L59" i="18" s="1"/>
  <c r="P60" i="18"/>
  <c r="O60" i="18"/>
  <c r="N58" i="18"/>
  <c r="M58" i="18"/>
  <c r="M56" i="18" s="1"/>
  <c r="L58" i="18"/>
  <c r="L56" i="18" s="1"/>
  <c r="P57" i="18"/>
  <c r="O57" i="18"/>
  <c r="P54" i="18"/>
  <c r="N54" i="18"/>
  <c r="M54" i="18"/>
  <c r="L54" i="18"/>
  <c r="N49" i="18"/>
  <c r="N47" i="18" s="1"/>
  <c r="M49" i="18"/>
  <c r="M47" i="18" s="1"/>
  <c r="P47" i="18" s="1"/>
  <c r="L49" i="18"/>
  <c r="L47" i="18" s="1"/>
  <c r="O47" i="18" s="1"/>
  <c r="P48" i="18"/>
  <c r="O48" i="18"/>
  <c r="N46" i="18"/>
  <c r="M46" i="18"/>
  <c r="M44" i="18" s="1"/>
  <c r="L46" i="18"/>
  <c r="L44" i="18" s="1"/>
  <c r="P45" i="18"/>
  <c r="O45" i="18"/>
  <c r="P42" i="18"/>
  <c r="O42" i="18"/>
  <c r="N42" i="18"/>
  <c r="M42" i="18"/>
  <c r="L42" i="18"/>
  <c r="N36" i="18"/>
  <c r="M36" i="18"/>
  <c r="P36" i="18" s="1"/>
  <c r="P35" i="18"/>
  <c r="N35" i="18"/>
  <c r="N34" i="18" s="1"/>
  <c r="M35" i="18"/>
  <c r="L35" i="18"/>
  <c r="P34" i="18"/>
  <c r="M34" i="18"/>
  <c r="P33" i="18"/>
  <c r="N33" i="18"/>
  <c r="N30" i="18" s="1"/>
  <c r="M33" i="18"/>
  <c r="O32" i="18"/>
  <c r="N32" i="18"/>
  <c r="N31" i="18" s="1"/>
  <c r="M32" i="18"/>
  <c r="L32" i="18"/>
  <c r="P31" i="18"/>
  <c r="M31" i="18"/>
  <c r="M30" i="18"/>
  <c r="P30" i="18" s="1"/>
  <c r="L29" i="18"/>
  <c r="O25" i="18"/>
  <c r="N25" i="18"/>
  <c r="N15" i="18" s="1"/>
  <c r="M25" i="18"/>
  <c r="L25" i="18"/>
  <c r="P22" i="18"/>
  <c r="N22" i="18"/>
  <c r="N19" i="18" s="1"/>
  <c r="M22" i="18"/>
  <c r="L22" i="18"/>
  <c r="M19" i="18"/>
  <c r="P19" i="18" s="1"/>
  <c r="L15" i="18"/>
  <c r="M12" i="18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N815" i="17"/>
  <c r="M815" i="17"/>
  <c r="P815" i="17" s="1"/>
  <c r="L815" i="17"/>
  <c r="O815" i="17" s="1"/>
  <c r="P810" i="17"/>
  <c r="O810" i="17"/>
  <c r="N810" i="17"/>
  <c r="N807" i="17" s="1"/>
  <c r="N805" i="17" s="1"/>
  <c r="P809" i="17"/>
  <c r="O809" i="17"/>
  <c r="P808" i="17"/>
  <c r="M808" i="17"/>
  <c r="L808" i="17"/>
  <c r="O808" i="17" s="1"/>
  <c r="P807" i="17"/>
  <c r="O807" i="17"/>
  <c r="M807" i="17"/>
  <c r="L807" i="17"/>
  <c r="P806" i="17"/>
  <c r="O806" i="17"/>
  <c r="N806" i="17"/>
  <c r="M806" i="17"/>
  <c r="L806" i="17"/>
  <c r="L805" i="17" s="1"/>
  <c r="O805" i="17" s="1"/>
  <c r="M805" i="17"/>
  <c r="P805" i="17" s="1"/>
  <c r="K804" i="17"/>
  <c r="J804" i="17"/>
  <c r="K802" i="17"/>
  <c r="J801" i="17"/>
  <c r="J800" i="17"/>
  <c r="J785" i="17" s="1"/>
  <c r="I800" i="17"/>
  <c r="I785" i="17" s="1"/>
  <c r="K785" i="17" s="1"/>
  <c r="P798" i="17"/>
  <c r="O798" i="17"/>
  <c r="P797" i="17"/>
  <c r="O797" i="17"/>
  <c r="N796" i="17"/>
  <c r="M796" i="17"/>
  <c r="P796" i="17" s="1"/>
  <c r="L796" i="17"/>
  <c r="O796" i="17" s="1"/>
  <c r="P791" i="17"/>
  <c r="N791" i="17"/>
  <c r="N788" i="17" s="1"/>
  <c r="N786" i="17" s="1"/>
  <c r="L791" i="17"/>
  <c r="O791" i="17" s="1"/>
  <c r="P790" i="17"/>
  <c r="O790" i="17"/>
  <c r="P789" i="17"/>
  <c r="N789" i="17"/>
  <c r="M789" i="17"/>
  <c r="L789" i="17"/>
  <c r="O789" i="17" s="1"/>
  <c r="P788" i="17"/>
  <c r="M788" i="17"/>
  <c r="P787" i="17"/>
  <c r="O787" i="17"/>
  <c r="N787" i="17"/>
  <c r="M787" i="17"/>
  <c r="L787" i="17"/>
  <c r="M786" i="17"/>
  <c r="P786" i="17" s="1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M773" i="17"/>
  <c r="P773" i="17" s="1"/>
  <c r="L773" i="17"/>
  <c r="O773" i="17" s="1"/>
  <c r="P772" i="17"/>
  <c r="M772" i="17"/>
  <c r="L772" i="17"/>
  <c r="O772" i="17" s="1"/>
  <c r="P771" i="17"/>
  <c r="O771" i="17"/>
  <c r="N771" i="17"/>
  <c r="M771" i="17"/>
  <c r="M770" i="17" s="1"/>
  <c r="P770" i="17" s="1"/>
  <c r="L771" i="17"/>
  <c r="L770" i="17" s="1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M757" i="17"/>
  <c r="P757" i="17" s="1"/>
  <c r="L757" i="17"/>
  <c r="O757" i="17" s="1"/>
  <c r="P756" i="17"/>
  <c r="M756" i="17"/>
  <c r="L756" i="17"/>
  <c r="O756" i="17" s="1"/>
  <c r="P755" i="17"/>
  <c r="O755" i="17"/>
  <c r="N755" i="17"/>
  <c r="M755" i="17"/>
  <c r="M754" i="17" s="1"/>
  <c r="P754" i="17" s="1"/>
  <c r="L755" i="17"/>
  <c r="L754" i="17" s="1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M740" i="17"/>
  <c r="P740" i="17" s="1"/>
  <c r="L740" i="17"/>
  <c r="O740" i="17" s="1"/>
  <c r="P739" i="17"/>
  <c r="M739" i="17"/>
  <c r="L739" i="17"/>
  <c r="O739" i="17" s="1"/>
  <c r="P738" i="17"/>
  <c r="O738" i="17"/>
  <c r="N738" i="17"/>
  <c r="M738" i="17"/>
  <c r="M737" i="17" s="1"/>
  <c r="P737" i="17" s="1"/>
  <c r="L738" i="17"/>
  <c r="L737" i="17" s="1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P690" i="17"/>
  <c r="N690" i="17"/>
  <c r="N687" i="17" s="1"/>
  <c r="L690" i="17"/>
  <c r="P688" i="17"/>
  <c r="M688" i="17"/>
  <c r="P687" i="17"/>
  <c r="M687" i="17"/>
  <c r="P686" i="17"/>
  <c r="O686" i="17"/>
  <c r="N686" i="17"/>
  <c r="N685" i="17" s="1"/>
  <c r="M686" i="17"/>
  <c r="L686" i="17"/>
  <c r="M685" i="17"/>
  <c r="P685" i="17" s="1"/>
  <c r="J679" i="17"/>
  <c r="J678" i="17"/>
  <c r="I678" i="17"/>
  <c r="K678" i="17" s="1"/>
  <c r="J675" i="17"/>
  <c r="I671" i="17"/>
  <c r="K671" i="17" s="1"/>
  <c r="I670" i="17"/>
  <c r="K670" i="17" s="1"/>
  <c r="J669" i="17"/>
  <c r="I669" i="17"/>
  <c r="K675" i="17" s="1"/>
  <c r="P667" i="17"/>
  <c r="O667" i="17"/>
  <c r="P666" i="17"/>
  <c r="O666" i="17"/>
  <c r="P665" i="17"/>
  <c r="O665" i="17"/>
  <c r="N665" i="17"/>
  <c r="M665" i="17"/>
  <c r="L665" i="17"/>
  <c r="P660" i="17"/>
  <c r="N660" i="17"/>
  <c r="L660" i="17"/>
  <c r="L658" i="17" s="1"/>
  <c r="O658" i="17" s="1"/>
  <c r="P659" i="17"/>
  <c r="O659" i="17"/>
  <c r="N658" i="17"/>
  <c r="M658" i="17"/>
  <c r="P658" i="17" s="1"/>
  <c r="N657" i="17"/>
  <c r="M657" i="17"/>
  <c r="P657" i="17" s="1"/>
  <c r="N656" i="17"/>
  <c r="N655" i="17" s="1"/>
  <c r="M656" i="17"/>
  <c r="M655" i="17" s="1"/>
  <c r="P655" i="17" s="1"/>
  <c r="L656" i="17"/>
  <c r="O656" i="17" s="1"/>
  <c r="J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O641" i="17" s="1"/>
  <c r="P640" i="17"/>
  <c r="O640" i="17"/>
  <c r="P639" i="17"/>
  <c r="N639" i="17"/>
  <c r="M639" i="17"/>
  <c r="P634" i="17"/>
  <c r="N634" i="17"/>
  <c r="L634" i="17"/>
  <c r="L632" i="17" s="1"/>
  <c r="O632" i="17" s="1"/>
  <c r="P633" i="17"/>
  <c r="O633" i="17"/>
  <c r="P632" i="17"/>
  <c r="N632" i="17"/>
  <c r="M632" i="17"/>
  <c r="P631" i="17"/>
  <c r="N631" i="17"/>
  <c r="M631" i="17"/>
  <c r="O630" i="17"/>
  <c r="N630" i="17"/>
  <c r="M630" i="17"/>
  <c r="P630" i="17" s="1"/>
  <c r="L630" i="17"/>
  <c r="N629" i="17"/>
  <c r="J621" i="17"/>
  <c r="I621" i="17"/>
  <c r="K621" i="17" s="1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4" i="17" s="1"/>
  <c r="J595" i="17"/>
  <c r="I594" i="17"/>
  <c r="J593" i="17"/>
  <c r="J592" i="17" s="1"/>
  <c r="I593" i="17"/>
  <c r="I592" i="17" s="1"/>
  <c r="K592" i="17" s="1"/>
  <c r="J583" i="17"/>
  <c r="J577" i="17" s="1"/>
  <c r="J582" i="17"/>
  <c r="J576" i="17" s="1"/>
  <c r="I577" i="17"/>
  <c r="I576" i="17"/>
  <c r="I559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O557" i="17" s="1"/>
  <c r="P556" i="17"/>
  <c r="O556" i="17"/>
  <c r="N555" i="17"/>
  <c r="N545" i="17" s="1"/>
  <c r="N544" i="17" s="1"/>
  <c r="M555" i="17"/>
  <c r="P555" i="17" s="1"/>
  <c r="P549" i="17"/>
  <c r="N549" i="17"/>
  <c r="N546" i="17" s="1"/>
  <c r="L549" i="17"/>
  <c r="O549" i="17" s="1"/>
  <c r="P548" i="17"/>
  <c r="O548" i="17"/>
  <c r="N547" i="17"/>
  <c r="M547" i="17"/>
  <c r="P547" i="17" s="1"/>
  <c r="M546" i="17"/>
  <c r="P546" i="17" s="1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O535" i="17" s="1"/>
  <c r="P534" i="17"/>
  <c r="O534" i="17"/>
  <c r="N533" i="17"/>
  <c r="M533" i="17"/>
  <c r="P533" i="17" s="1"/>
  <c r="P528" i="17"/>
  <c r="N528" i="17"/>
  <c r="N525" i="17" s="1"/>
  <c r="L528" i="17"/>
  <c r="O528" i="17" s="1"/>
  <c r="P527" i="17"/>
  <c r="O527" i="17"/>
  <c r="P526" i="17"/>
  <c r="N526" i="17"/>
  <c r="M526" i="17"/>
  <c r="L526" i="17"/>
  <c r="O526" i="17" s="1"/>
  <c r="P525" i="17"/>
  <c r="M525" i="17"/>
  <c r="P524" i="17"/>
  <c r="O524" i="17"/>
  <c r="N524" i="17"/>
  <c r="N523" i="17" s="1"/>
  <c r="M524" i="17"/>
  <c r="L524" i="17"/>
  <c r="M523" i="17"/>
  <c r="P523" i="17" s="1"/>
  <c r="K517" i="17"/>
  <c r="J517" i="17"/>
  <c r="J501" i="17" s="1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P506" i="17"/>
  <c r="O506" i="17"/>
  <c r="P505" i="17"/>
  <c r="O505" i="17"/>
  <c r="N505" i="17"/>
  <c r="M505" i="17"/>
  <c r="L505" i="17"/>
  <c r="O504" i="17"/>
  <c r="N504" i="17"/>
  <c r="M504" i="17"/>
  <c r="P504" i="17" s="1"/>
  <c r="L504" i="17"/>
  <c r="N503" i="17"/>
  <c r="N502" i="17" s="1"/>
  <c r="M503" i="17"/>
  <c r="P503" i="17" s="1"/>
  <c r="L503" i="17"/>
  <c r="O503" i="17" s="1"/>
  <c r="M502" i="17"/>
  <c r="P502" i="17" s="1"/>
  <c r="K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P478" i="17"/>
  <c r="O478" i="17"/>
  <c r="P477" i="17"/>
  <c r="N477" i="17"/>
  <c r="M477" i="17"/>
  <c r="P472" i="17"/>
  <c r="N472" i="17"/>
  <c r="L472" i="17"/>
  <c r="L470" i="17" s="1"/>
  <c r="P471" i="17"/>
  <c r="O471" i="17"/>
  <c r="P470" i="17"/>
  <c r="N470" i="17"/>
  <c r="M470" i="17"/>
  <c r="M469" i="17"/>
  <c r="P469" i="17" s="1"/>
  <c r="N468" i="17"/>
  <c r="M468" i="17"/>
  <c r="P468" i="17" s="1"/>
  <c r="L468" i="17"/>
  <c r="O468" i="17" s="1"/>
  <c r="M467" i="17"/>
  <c r="P467" i="17" s="1"/>
  <c r="J466" i="17"/>
  <c r="I466" i="17"/>
  <c r="K466" i="17" s="1"/>
  <c r="J465" i="17"/>
  <c r="I465" i="17"/>
  <c r="K465" i="17" s="1"/>
  <c r="I464" i="17"/>
  <c r="I463" i="17"/>
  <c r="I462" i="17"/>
  <c r="I460" i="17"/>
  <c r="K460" i="17" s="1"/>
  <c r="K458" i="17"/>
  <c r="P456" i="17"/>
  <c r="L456" i="17"/>
  <c r="O456" i="17" s="1"/>
  <c r="P455" i="17"/>
  <c r="O455" i="17"/>
  <c r="P454" i="17"/>
  <c r="N454" i="17"/>
  <c r="M454" i="17"/>
  <c r="P449" i="17"/>
  <c r="N449" i="17"/>
  <c r="L449" i="17"/>
  <c r="O449" i="17" s="1"/>
  <c r="P448" i="17"/>
  <c r="O448" i="17"/>
  <c r="P447" i="17"/>
  <c r="N447" i="17"/>
  <c r="M447" i="17"/>
  <c r="L447" i="17"/>
  <c r="O447" i="17" s="1"/>
  <c r="P446" i="17"/>
  <c r="N446" i="17"/>
  <c r="N444" i="17" s="1"/>
  <c r="M446" i="17"/>
  <c r="O445" i="17"/>
  <c r="N445" i="17"/>
  <c r="M445" i="17"/>
  <c r="P445" i="17" s="1"/>
  <c r="L445" i="17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K435" i="17" s="1"/>
  <c r="J434" i="17"/>
  <c r="P431" i="17"/>
  <c r="L431" i="17"/>
  <c r="O431" i="17" s="1"/>
  <c r="P430" i="17"/>
  <c r="O430" i="17"/>
  <c r="P429" i="17"/>
  <c r="N429" i="17"/>
  <c r="M429" i="17"/>
  <c r="L429" i="17"/>
  <c r="O429" i="17" s="1"/>
  <c r="P424" i="17"/>
  <c r="N424" i="17"/>
  <c r="L424" i="17"/>
  <c r="L422" i="17" s="1"/>
  <c r="O422" i="17" s="1"/>
  <c r="P423" i="17"/>
  <c r="O423" i="17"/>
  <c r="P422" i="17"/>
  <c r="N422" i="17"/>
  <c r="M422" i="17"/>
  <c r="P421" i="17"/>
  <c r="N421" i="17"/>
  <c r="N419" i="17" s="1"/>
  <c r="M421" i="17"/>
  <c r="O420" i="17"/>
  <c r="N420" i="17"/>
  <c r="M420" i="17"/>
  <c r="P420" i="17" s="1"/>
  <c r="L420" i="17"/>
  <c r="J418" i="17"/>
  <c r="K413" i="17"/>
  <c r="K412" i="17"/>
  <c r="N410" i="17"/>
  <c r="N408" i="17" s="1"/>
  <c r="M410" i="17"/>
  <c r="L410" i="17"/>
  <c r="O410" i="17" s="1"/>
  <c r="P409" i="17"/>
  <c r="O409" i="17"/>
  <c r="N407" i="17"/>
  <c r="N405" i="17" s="1"/>
  <c r="M407" i="17"/>
  <c r="L407" i="17"/>
  <c r="O407" i="17" s="1"/>
  <c r="P406" i="17"/>
  <c r="O406" i="17"/>
  <c r="N403" i="17"/>
  <c r="M403" i="17"/>
  <c r="L403" i="17"/>
  <c r="O403" i="17" s="1"/>
  <c r="K401" i="17"/>
  <c r="J401" i="17"/>
  <c r="I401" i="17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M394" i="17"/>
  <c r="P394" i="17" s="1"/>
  <c r="L394" i="17"/>
  <c r="L392" i="17" s="1"/>
  <c r="O392" i="17" s="1"/>
  <c r="P393" i="17"/>
  <c r="O393" i="17"/>
  <c r="O390" i="17"/>
  <c r="N390" i="17"/>
  <c r="M390" i="17"/>
  <c r="P390" i="17" s="1"/>
  <c r="L390" i="17"/>
  <c r="J388" i="17"/>
  <c r="I388" i="17"/>
  <c r="K388" i="17" s="1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M353" i="17"/>
  <c r="M351" i="17" s="1"/>
  <c r="L353" i="17"/>
  <c r="L351" i="17" s="1"/>
  <c r="P352" i="17"/>
  <c r="O352" i="17"/>
  <c r="N350" i="17"/>
  <c r="M350" i="17"/>
  <c r="M348" i="17" s="1"/>
  <c r="L350" i="17"/>
  <c r="L348" i="17" s="1"/>
  <c r="P349" i="17"/>
  <c r="O349" i="17"/>
  <c r="O346" i="17"/>
  <c r="N346" i="17"/>
  <c r="M346" i="17"/>
  <c r="L346" i="17"/>
  <c r="J343" i="17"/>
  <c r="J342" i="17"/>
  <c r="J341" i="17"/>
  <c r="J340" i="17"/>
  <c r="I340" i="17"/>
  <c r="J338" i="17"/>
  <c r="I338" i="17"/>
  <c r="N336" i="17"/>
  <c r="N334" i="17" s="1"/>
  <c r="M336" i="17"/>
  <c r="P336" i="17" s="1"/>
  <c r="L336" i="17"/>
  <c r="O336" i="17" s="1"/>
  <c r="P335" i="17"/>
  <c r="O335" i="17"/>
  <c r="N333" i="17"/>
  <c r="M333" i="17"/>
  <c r="L333" i="17"/>
  <c r="L331" i="17" s="1"/>
  <c r="P332" i="17"/>
  <c r="O332" i="17"/>
  <c r="O329" i="17"/>
  <c r="N329" i="17"/>
  <c r="M329" i="17"/>
  <c r="P329" i="17" s="1"/>
  <c r="L329" i="17"/>
  <c r="I327" i="17"/>
  <c r="I325" i="17"/>
  <c r="N323" i="17"/>
  <c r="M323" i="17"/>
  <c r="P323" i="17" s="1"/>
  <c r="L323" i="17"/>
  <c r="P322" i="17"/>
  <c r="O322" i="17"/>
  <c r="N320" i="17"/>
  <c r="N318" i="17" s="1"/>
  <c r="M320" i="17"/>
  <c r="L320" i="17"/>
  <c r="O320" i="17" s="1"/>
  <c r="P319" i="17"/>
  <c r="O319" i="17"/>
  <c r="P316" i="17"/>
  <c r="O316" i="17"/>
  <c r="N316" i="17"/>
  <c r="M316" i="17"/>
  <c r="L316" i="17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P306" i="17" s="1"/>
  <c r="L306" i="17"/>
  <c r="P305" i="17"/>
  <c r="O305" i="17"/>
  <c r="N303" i="17"/>
  <c r="M303" i="17"/>
  <c r="P303" i="17" s="1"/>
  <c r="L303" i="17"/>
  <c r="P302" i="17"/>
  <c r="O302" i="17"/>
  <c r="N299" i="17"/>
  <c r="M299" i="17"/>
  <c r="L299" i="17"/>
  <c r="O299" i="17" s="1"/>
  <c r="J297" i="17"/>
  <c r="I294" i="17"/>
  <c r="K294" i="17" s="1"/>
  <c r="I293" i="17"/>
  <c r="K293" i="17" s="1"/>
  <c r="I291" i="17"/>
  <c r="K291" i="17" s="1"/>
  <c r="I290" i="17"/>
  <c r="K290" i="17" s="1"/>
  <c r="I288" i="17"/>
  <c r="J288" i="17" s="1"/>
  <c r="J275" i="17" s="1"/>
  <c r="I287" i="17"/>
  <c r="K287" i="17" s="1"/>
  <c r="N285" i="17"/>
  <c r="N283" i="17" s="1"/>
  <c r="M285" i="17"/>
  <c r="L285" i="17"/>
  <c r="P284" i="17"/>
  <c r="O284" i="17"/>
  <c r="N282" i="17"/>
  <c r="M282" i="17"/>
  <c r="M280" i="17" s="1"/>
  <c r="L282" i="17"/>
  <c r="L280" i="17" s="1"/>
  <c r="P281" i="17"/>
  <c r="O281" i="17"/>
  <c r="P278" i="17"/>
  <c r="N278" i="17"/>
  <c r="M278" i="17"/>
  <c r="L278" i="17"/>
  <c r="O278" i="17" s="1"/>
  <c r="J276" i="17"/>
  <c r="I271" i="17"/>
  <c r="K271" i="17" s="1"/>
  <c r="N269" i="17"/>
  <c r="N267" i="17" s="1"/>
  <c r="M269" i="17"/>
  <c r="P269" i="17" s="1"/>
  <c r="L269" i="17"/>
  <c r="O269" i="17" s="1"/>
  <c r="P268" i="17"/>
  <c r="O268" i="17"/>
  <c r="N266" i="17"/>
  <c r="N264" i="17" s="1"/>
  <c r="M266" i="17"/>
  <c r="M264" i="17" s="1"/>
  <c r="L266" i="17"/>
  <c r="P265" i="17"/>
  <c r="O265" i="17"/>
  <c r="O262" i="17"/>
  <c r="N262" i="17"/>
  <c r="M262" i="17"/>
  <c r="L262" i="17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L242" i="17"/>
  <c r="L241" i="17"/>
  <c r="L240" i="17"/>
  <c r="L239" i="17"/>
  <c r="P238" i="17"/>
  <c r="N238" i="17"/>
  <c r="J237" i="17"/>
  <c r="J236" i="17"/>
  <c r="I236" i="17"/>
  <c r="K236" i="17" s="1"/>
  <c r="K235" i="17"/>
  <c r="J235" i="17"/>
  <c r="I235" i="17"/>
  <c r="J233" i="17"/>
  <c r="N231" i="17"/>
  <c r="N230" i="17"/>
  <c r="N229" i="17"/>
  <c r="N228" i="17"/>
  <c r="N227" i="17"/>
  <c r="J226" i="17"/>
  <c r="I225" i="17"/>
  <c r="K225" i="17" s="1"/>
  <c r="I224" i="17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I190" i="17" s="1"/>
  <c r="K190" i="17" s="1"/>
  <c r="P191" i="17"/>
  <c r="L191" i="17"/>
  <c r="O191" i="17" s="1"/>
  <c r="J190" i="17"/>
  <c r="N189" i="17"/>
  <c r="N187" i="17" s="1"/>
  <c r="M189" i="17"/>
  <c r="P189" i="17" s="1"/>
  <c r="L189" i="17"/>
  <c r="O189" i="17" s="1"/>
  <c r="P188" i="17"/>
  <c r="O188" i="17"/>
  <c r="N186" i="17"/>
  <c r="N184" i="17" s="1"/>
  <c r="M186" i="17"/>
  <c r="M184" i="17" s="1"/>
  <c r="L186" i="17"/>
  <c r="P185" i="17"/>
  <c r="O185" i="17"/>
  <c r="P182" i="17"/>
  <c r="O182" i="17"/>
  <c r="N182" i="17"/>
  <c r="M182" i="17"/>
  <c r="L182" i="17"/>
  <c r="J180" i="17"/>
  <c r="J177" i="17"/>
  <c r="I176" i="17"/>
  <c r="K176" i="17" s="1"/>
  <c r="J174" i="17"/>
  <c r="N173" i="17"/>
  <c r="N171" i="17" s="1"/>
  <c r="M173" i="17"/>
  <c r="M171" i="17" s="1"/>
  <c r="P171" i="17" s="1"/>
  <c r="L173" i="17"/>
  <c r="O173" i="17" s="1"/>
  <c r="P172" i="17"/>
  <c r="O172" i="17"/>
  <c r="N170" i="17"/>
  <c r="N168" i="17" s="1"/>
  <c r="M170" i="17"/>
  <c r="M168" i="17" s="1"/>
  <c r="P168" i="17" s="1"/>
  <c r="L170" i="17"/>
  <c r="P169" i="17"/>
  <c r="O169" i="17"/>
  <c r="O166" i="17"/>
  <c r="N166" i="17"/>
  <c r="M166" i="17"/>
  <c r="P166" i="17" s="1"/>
  <c r="L166" i="17"/>
  <c r="J164" i="17"/>
  <c r="I159" i="17"/>
  <c r="I148" i="17" s="1"/>
  <c r="K148" i="17" s="1"/>
  <c r="N157" i="17"/>
  <c r="N155" i="17" s="1"/>
  <c r="M157" i="17"/>
  <c r="P157" i="17" s="1"/>
  <c r="L157" i="17"/>
  <c r="O157" i="17" s="1"/>
  <c r="P156" i="17"/>
  <c r="O156" i="17"/>
  <c r="N154" i="17"/>
  <c r="N152" i="17" s="1"/>
  <c r="M154" i="17"/>
  <c r="P154" i="17" s="1"/>
  <c r="L154" i="17"/>
  <c r="P153" i="17"/>
  <c r="O153" i="17"/>
  <c r="P150" i="17"/>
  <c r="O150" i="17"/>
  <c r="N150" i="17"/>
  <c r="M150" i="17"/>
  <c r="L150" i="17"/>
  <c r="J148" i="17"/>
  <c r="I146" i="17"/>
  <c r="I130" i="17" s="1"/>
  <c r="K130" i="17" s="1"/>
  <c r="I145" i="17"/>
  <c r="I143" i="17" s="1"/>
  <c r="I131" i="17" s="1"/>
  <c r="I144" i="17"/>
  <c r="K144" i="17" s="1"/>
  <c r="N140" i="17"/>
  <c r="N138" i="17" s="1"/>
  <c r="M140" i="17"/>
  <c r="M138" i="17" s="1"/>
  <c r="L140" i="17"/>
  <c r="L138" i="17" s="1"/>
  <c r="P139" i="17"/>
  <c r="O139" i="17"/>
  <c r="N137" i="17"/>
  <c r="M137" i="17"/>
  <c r="L137" i="17"/>
  <c r="P136" i="17"/>
  <c r="O136" i="17"/>
  <c r="O133" i="17"/>
  <c r="N133" i="17"/>
  <c r="M133" i="17"/>
  <c r="P133" i="17" s="1"/>
  <c r="L133" i="17"/>
  <c r="J130" i="17"/>
  <c r="N127" i="17"/>
  <c r="N125" i="17" s="1"/>
  <c r="M127" i="17"/>
  <c r="P127" i="17" s="1"/>
  <c r="L127" i="17"/>
  <c r="O127" i="17" s="1"/>
  <c r="P126" i="17"/>
  <c r="O126" i="17"/>
  <c r="N124" i="17"/>
  <c r="M124" i="17"/>
  <c r="P124" i="17" s="1"/>
  <c r="L124" i="17"/>
  <c r="O124" i="17" s="1"/>
  <c r="P123" i="17"/>
  <c r="O123" i="17"/>
  <c r="P120" i="17"/>
  <c r="O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K99" i="17" s="1"/>
  <c r="J98" i="17"/>
  <c r="I98" i="17"/>
  <c r="K98" i="17" s="1"/>
  <c r="N96" i="17"/>
  <c r="N94" i="17" s="1"/>
  <c r="M96" i="17"/>
  <c r="P96" i="17" s="1"/>
  <c r="L96" i="17"/>
  <c r="P95" i="17"/>
  <c r="O95" i="17"/>
  <c r="N93" i="17"/>
  <c r="N91" i="17" s="1"/>
  <c r="M93" i="17"/>
  <c r="M91" i="17" s="1"/>
  <c r="L93" i="17"/>
  <c r="L91" i="17" s="1"/>
  <c r="P92" i="17"/>
  <c r="O92" i="17"/>
  <c r="P89" i="17"/>
  <c r="O89" i="17"/>
  <c r="N89" i="17"/>
  <c r="M89" i="17"/>
  <c r="L89" i="17"/>
  <c r="J87" i="17"/>
  <c r="J86" i="17"/>
  <c r="I84" i="17"/>
  <c r="K84" i="17" s="1"/>
  <c r="I83" i="17"/>
  <c r="K83" i="17" s="1"/>
  <c r="I82" i="17"/>
  <c r="K82" i="17" s="1"/>
  <c r="I81" i="17"/>
  <c r="K81" i="17" s="1"/>
  <c r="I80" i="17"/>
  <c r="K80" i="17" s="1"/>
  <c r="I79" i="17"/>
  <c r="I78" i="17"/>
  <c r="K78" i="17" s="1"/>
  <c r="J77" i="17"/>
  <c r="J65" i="17" s="1"/>
  <c r="J76" i="17"/>
  <c r="N74" i="17"/>
  <c r="M74" i="17"/>
  <c r="M72" i="17" s="1"/>
  <c r="P72" i="17" s="1"/>
  <c r="L74" i="17"/>
  <c r="O74" i="17" s="1"/>
  <c r="P73" i="17"/>
  <c r="O73" i="17"/>
  <c r="N71" i="17"/>
  <c r="M71" i="17"/>
  <c r="M69" i="17" s="1"/>
  <c r="L71" i="17"/>
  <c r="L69" i="17" s="1"/>
  <c r="P70" i="17"/>
  <c r="O70" i="17"/>
  <c r="P67" i="17"/>
  <c r="O67" i="17"/>
  <c r="N67" i="17"/>
  <c r="M67" i="17"/>
  <c r="L67" i="17"/>
  <c r="J64" i="17"/>
  <c r="N61" i="17"/>
  <c r="N59" i="17" s="1"/>
  <c r="M61" i="17"/>
  <c r="P61" i="17" s="1"/>
  <c r="L61" i="17"/>
  <c r="O61" i="17" s="1"/>
  <c r="P60" i="17"/>
  <c r="O60" i="17"/>
  <c r="N58" i="17"/>
  <c r="M58" i="17"/>
  <c r="L58" i="17"/>
  <c r="P57" i="17"/>
  <c r="O57" i="17"/>
  <c r="N54" i="17"/>
  <c r="M54" i="17"/>
  <c r="L54" i="17"/>
  <c r="O54" i="17" s="1"/>
  <c r="N49" i="17"/>
  <c r="N47" i="17" s="1"/>
  <c r="M49" i="17"/>
  <c r="M47" i="17" s="1"/>
  <c r="P47" i="17" s="1"/>
  <c r="L49" i="17"/>
  <c r="L47" i="17" s="1"/>
  <c r="O47" i="17" s="1"/>
  <c r="P48" i="17"/>
  <c r="O48" i="17"/>
  <c r="N46" i="17"/>
  <c r="N44" i="17" s="1"/>
  <c r="M46" i="17"/>
  <c r="M44" i="17" s="1"/>
  <c r="L46" i="17"/>
  <c r="P45" i="17"/>
  <c r="O45" i="17"/>
  <c r="N42" i="17"/>
  <c r="M42" i="17"/>
  <c r="L42" i="17"/>
  <c r="O42" i="17" s="1"/>
  <c r="N36" i="17"/>
  <c r="M36" i="17"/>
  <c r="P36" i="17" s="1"/>
  <c r="P35" i="17"/>
  <c r="N35" i="17"/>
  <c r="M35" i="17"/>
  <c r="L35" i="17"/>
  <c r="N34" i="17"/>
  <c r="P33" i="17"/>
  <c r="N33" i="17"/>
  <c r="N30" i="17" s="1"/>
  <c r="M33" i="17"/>
  <c r="N32" i="17"/>
  <c r="N31" i="17" s="1"/>
  <c r="M32" i="17"/>
  <c r="L32" i="17"/>
  <c r="O32" i="17" s="1"/>
  <c r="N29" i="17"/>
  <c r="N28" i="17" s="1"/>
  <c r="L29" i="17"/>
  <c r="O25" i="17"/>
  <c r="N25" i="17"/>
  <c r="M25" i="17"/>
  <c r="P25" i="17" s="1"/>
  <c r="L25" i="17"/>
  <c r="P22" i="17"/>
  <c r="O22" i="17"/>
  <c r="N22" i="17"/>
  <c r="N19" i="17" s="1"/>
  <c r="M22" i="17"/>
  <c r="L22" i="17"/>
  <c r="L19" i="17"/>
  <c r="O19" i="17" s="1"/>
  <c r="N15" i="17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O815" i="16"/>
  <c r="N815" i="16"/>
  <c r="M815" i="16"/>
  <c r="L815" i="16"/>
  <c r="P810" i="16"/>
  <c r="O810" i="16"/>
  <c r="N810" i="16"/>
  <c r="P809" i="16"/>
  <c r="O809" i="16"/>
  <c r="O808" i="16"/>
  <c r="N808" i="16"/>
  <c r="M808" i="16"/>
  <c r="P808" i="16" s="1"/>
  <c r="L808" i="16"/>
  <c r="N807" i="16"/>
  <c r="N805" i="16" s="1"/>
  <c r="M807" i="16"/>
  <c r="P807" i="16" s="1"/>
  <c r="L807" i="16"/>
  <c r="O807" i="16" s="1"/>
  <c r="N806" i="16"/>
  <c r="M806" i="16"/>
  <c r="L806" i="16"/>
  <c r="O806" i="16" s="1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N796" i="16"/>
  <c r="M796" i="16"/>
  <c r="P796" i="16" s="1"/>
  <c r="L796" i="16"/>
  <c r="O796" i="16" s="1"/>
  <c r="P791" i="16"/>
  <c r="N791" i="16"/>
  <c r="L791" i="16"/>
  <c r="L788" i="16" s="1"/>
  <c r="P790" i="16"/>
  <c r="O790" i="16"/>
  <c r="P789" i="16"/>
  <c r="N789" i="16"/>
  <c r="M789" i="16"/>
  <c r="P788" i="16"/>
  <c r="M788" i="16"/>
  <c r="P787" i="16"/>
  <c r="O787" i="16"/>
  <c r="N787" i="16"/>
  <c r="M787" i="16"/>
  <c r="M786" i="16" s="1"/>
  <c r="P786" i="16" s="1"/>
  <c r="L787" i="16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M773" i="16"/>
  <c r="P773" i="16" s="1"/>
  <c r="L773" i="16"/>
  <c r="O773" i="16" s="1"/>
  <c r="P772" i="16"/>
  <c r="M772" i="16"/>
  <c r="L772" i="16"/>
  <c r="P771" i="16"/>
  <c r="O771" i="16"/>
  <c r="N771" i="16"/>
  <c r="M771" i="16"/>
  <c r="M770" i="16" s="1"/>
  <c r="P770" i="16" s="1"/>
  <c r="L771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M757" i="16"/>
  <c r="P757" i="16" s="1"/>
  <c r="L757" i="16"/>
  <c r="O757" i="16" s="1"/>
  <c r="P756" i="16"/>
  <c r="M756" i="16"/>
  <c r="L756" i="16"/>
  <c r="P755" i="16"/>
  <c r="O755" i="16"/>
  <c r="N755" i="16"/>
  <c r="M755" i="16"/>
  <c r="M754" i="16" s="1"/>
  <c r="L755" i="16"/>
  <c r="P754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M740" i="16"/>
  <c r="P740" i="16" s="1"/>
  <c r="L740" i="16"/>
  <c r="O740" i="16" s="1"/>
  <c r="P739" i="16"/>
  <c r="M739" i="16"/>
  <c r="L739" i="16"/>
  <c r="P738" i="16"/>
  <c r="O738" i="16"/>
  <c r="N738" i="16"/>
  <c r="M738" i="16"/>
  <c r="M737" i="16" s="1"/>
  <c r="P737" i="16" s="1"/>
  <c r="L738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P690" i="16"/>
  <c r="N690" i="16"/>
  <c r="L690" i="16"/>
  <c r="L688" i="16" s="1"/>
  <c r="P688" i="16"/>
  <c r="M688" i="16"/>
  <c r="P687" i="16"/>
  <c r="M687" i="16"/>
  <c r="P686" i="16"/>
  <c r="O686" i="16"/>
  <c r="N686" i="16"/>
  <c r="M686" i="16"/>
  <c r="M685" i="16" s="1"/>
  <c r="P685" i="16" s="1"/>
  <c r="L686" i="16"/>
  <c r="J679" i="16"/>
  <c r="J678" i="16"/>
  <c r="I678" i="16"/>
  <c r="K678" i="16" s="1"/>
  <c r="J675" i="16"/>
  <c r="I671" i="16"/>
  <c r="K671" i="16" s="1"/>
  <c r="I670" i="16"/>
  <c r="K670" i="16" s="1"/>
  <c r="J669" i="16"/>
  <c r="J654" i="16" s="1"/>
  <c r="I669" i="16"/>
  <c r="K672" i="16" s="1"/>
  <c r="P667" i="16"/>
  <c r="O667" i="16"/>
  <c r="P666" i="16"/>
  <c r="O666" i="16"/>
  <c r="P665" i="16"/>
  <c r="O665" i="16"/>
  <c r="N665" i="16"/>
  <c r="M665" i="16"/>
  <c r="L665" i="16"/>
  <c r="P660" i="16"/>
  <c r="N660" i="16"/>
  <c r="L660" i="16"/>
  <c r="P659" i="16"/>
  <c r="O659" i="16"/>
  <c r="M658" i="16"/>
  <c r="P658" i="16" s="1"/>
  <c r="N657" i="16"/>
  <c r="N655" i="16" s="1"/>
  <c r="M657" i="16"/>
  <c r="P657" i="16" s="1"/>
  <c r="N656" i="16"/>
  <c r="M656" i="16"/>
  <c r="L656" i="16"/>
  <c r="O656" i="16" s="1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O641" i="16" s="1"/>
  <c r="P640" i="16"/>
  <c r="O640" i="16"/>
  <c r="P639" i="16"/>
  <c r="N639" i="16"/>
  <c r="M639" i="16"/>
  <c r="P634" i="16"/>
  <c r="N634" i="16"/>
  <c r="N631" i="16" s="1"/>
  <c r="L634" i="16"/>
  <c r="O634" i="16" s="1"/>
  <c r="P633" i="16"/>
  <c r="O633" i="16"/>
  <c r="P632" i="16"/>
  <c r="N632" i="16"/>
  <c r="M632" i="16"/>
  <c r="P631" i="16"/>
  <c r="M631" i="16"/>
  <c r="O630" i="16"/>
  <c r="N630" i="16"/>
  <c r="N629" i="16" s="1"/>
  <c r="M630" i="16"/>
  <c r="P630" i="16" s="1"/>
  <c r="L630" i="16"/>
  <c r="M629" i="16"/>
  <c r="P629" i="16" s="1"/>
  <c r="J621" i="16"/>
  <c r="I621" i="16"/>
  <c r="K621" i="16" s="1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I594" i="16"/>
  <c r="I593" i="16"/>
  <c r="J583" i="16"/>
  <c r="J577" i="16" s="1"/>
  <c r="J582" i="16"/>
  <c r="I577" i="16"/>
  <c r="K577" i="16" s="1"/>
  <c r="J576" i="16"/>
  <c r="J559" i="16" s="1"/>
  <c r="I576" i="16"/>
  <c r="I559" i="16" s="1"/>
  <c r="I543" i="16" s="1"/>
  <c r="J569" i="16"/>
  <c r="I569" i="16"/>
  <c r="K569" i="16" s="1"/>
  <c r="J568" i="16"/>
  <c r="I568" i="16"/>
  <c r="K568" i="16" s="1"/>
  <c r="J561" i="16"/>
  <c r="I561" i="16"/>
  <c r="K561" i="16" s="1"/>
  <c r="J560" i="16"/>
  <c r="I560" i="16"/>
  <c r="K560" i="16" s="1"/>
  <c r="P557" i="16"/>
  <c r="L557" i="16"/>
  <c r="P556" i="16"/>
  <c r="O556" i="16"/>
  <c r="N555" i="16"/>
  <c r="N545" i="16" s="1"/>
  <c r="N544" i="16" s="1"/>
  <c r="M555" i="16"/>
  <c r="P555" i="16" s="1"/>
  <c r="P549" i="16"/>
  <c r="N549" i="16"/>
  <c r="N546" i="16" s="1"/>
  <c r="L549" i="16"/>
  <c r="P548" i="16"/>
  <c r="O548" i="16"/>
  <c r="N547" i="16"/>
  <c r="M547" i="16"/>
  <c r="P547" i="16" s="1"/>
  <c r="M546" i="16"/>
  <c r="P546" i="16" s="1"/>
  <c r="O545" i="16"/>
  <c r="L545" i="16"/>
  <c r="I542" i="16"/>
  <c r="K542" i="16" s="1"/>
  <c r="I541" i="16"/>
  <c r="K541" i="16" s="1"/>
  <c r="I540" i="16"/>
  <c r="K540" i="16" s="1"/>
  <c r="I539" i="16"/>
  <c r="K539" i="16" s="1"/>
  <c r="I538" i="16"/>
  <c r="I537" i="16"/>
  <c r="K537" i="16" s="1"/>
  <c r="P535" i="16"/>
  <c r="L535" i="16"/>
  <c r="L533" i="16" s="1"/>
  <c r="O533" i="16" s="1"/>
  <c r="P534" i="16"/>
  <c r="O534" i="16"/>
  <c r="P533" i="16"/>
  <c r="N533" i="16"/>
  <c r="M533" i="16"/>
  <c r="P528" i="16"/>
  <c r="N528" i="16"/>
  <c r="L528" i="16"/>
  <c r="L526" i="16" s="1"/>
  <c r="O526" i="16" s="1"/>
  <c r="P527" i="16"/>
  <c r="O527" i="16"/>
  <c r="P526" i="16"/>
  <c r="N526" i="16"/>
  <c r="M526" i="16"/>
  <c r="P525" i="16"/>
  <c r="N525" i="16"/>
  <c r="M525" i="16"/>
  <c r="P524" i="16"/>
  <c r="O524" i="16"/>
  <c r="N524" i="16"/>
  <c r="M524" i="16"/>
  <c r="M523" i="16" s="1"/>
  <c r="P523" i="16" s="1"/>
  <c r="L524" i="16"/>
  <c r="N523" i="16"/>
  <c r="K517" i="16"/>
  <c r="J517" i="16"/>
  <c r="K516" i="16"/>
  <c r="P514" i="16"/>
  <c r="O514" i="16"/>
  <c r="P513" i="16"/>
  <c r="O513" i="16"/>
  <c r="P512" i="16"/>
  <c r="O512" i="16"/>
  <c r="N512" i="16"/>
  <c r="M512" i="16"/>
  <c r="L512" i="16"/>
  <c r="P507" i="16"/>
  <c r="O507" i="16"/>
  <c r="N507" i="16"/>
  <c r="P506" i="16"/>
  <c r="O506" i="16"/>
  <c r="O505" i="16"/>
  <c r="M505" i="16"/>
  <c r="P505" i="16" s="1"/>
  <c r="L505" i="16"/>
  <c r="O504" i="16"/>
  <c r="M504" i="16"/>
  <c r="P504" i="16" s="1"/>
  <c r="L504" i="16"/>
  <c r="N503" i="16"/>
  <c r="M503" i="16"/>
  <c r="L503" i="16"/>
  <c r="O503" i="16" s="1"/>
  <c r="L502" i="16"/>
  <c r="O502" i="16" s="1"/>
  <c r="K501" i="16"/>
  <c r="J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L477" i="16" s="1"/>
  <c r="O477" i="16" s="1"/>
  <c r="P478" i="16"/>
  <c r="O478" i="16"/>
  <c r="P477" i="16"/>
  <c r="N477" i="16"/>
  <c r="M477" i="16"/>
  <c r="P472" i="16"/>
  <c r="N472" i="16"/>
  <c r="L472" i="16"/>
  <c r="L470" i="16" s="1"/>
  <c r="O470" i="16" s="1"/>
  <c r="P471" i="16"/>
  <c r="O471" i="16"/>
  <c r="P470" i="16"/>
  <c r="N470" i="16"/>
  <c r="M470" i="16"/>
  <c r="N469" i="16"/>
  <c r="M469" i="16"/>
  <c r="P469" i="16" s="1"/>
  <c r="N468" i="16"/>
  <c r="N467" i="16" s="1"/>
  <c r="M468" i="16"/>
  <c r="P468" i="16" s="1"/>
  <c r="L468" i="16"/>
  <c r="O468" i="16" s="1"/>
  <c r="M467" i="16"/>
  <c r="P467" i="16" s="1"/>
  <c r="J466" i="16"/>
  <c r="I466" i="16"/>
  <c r="J465" i="16"/>
  <c r="I465" i="16"/>
  <c r="K465" i="16" s="1"/>
  <c r="I464" i="16"/>
  <c r="I463" i="16"/>
  <c r="I462" i="16"/>
  <c r="I443" i="16" s="1"/>
  <c r="K443" i="16" s="1"/>
  <c r="I460" i="16"/>
  <c r="K458" i="16"/>
  <c r="P456" i="16"/>
  <c r="L456" i="16"/>
  <c r="L454" i="16" s="1"/>
  <c r="O454" i="16" s="1"/>
  <c r="P455" i="16"/>
  <c r="O455" i="16"/>
  <c r="P454" i="16"/>
  <c r="N454" i="16"/>
  <c r="M454" i="16"/>
  <c r="P449" i="16"/>
  <c r="N449" i="16"/>
  <c r="N446" i="16" s="1"/>
  <c r="L449" i="16"/>
  <c r="O449" i="16" s="1"/>
  <c r="P448" i="16"/>
  <c r="O448" i="16"/>
  <c r="P447" i="16"/>
  <c r="N447" i="16"/>
  <c r="M447" i="16"/>
  <c r="P446" i="16"/>
  <c r="M446" i="16"/>
  <c r="O445" i="16"/>
  <c r="N445" i="16"/>
  <c r="N444" i="16" s="1"/>
  <c r="M445" i="16"/>
  <c r="P445" i="16" s="1"/>
  <c r="L445" i="16"/>
  <c r="M444" i="16"/>
  <c r="P444" i="16" s="1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J434" i="16"/>
  <c r="P431" i="16"/>
  <c r="L431" i="16"/>
  <c r="P430" i="16"/>
  <c r="O430" i="16"/>
  <c r="P429" i="16"/>
  <c r="N429" i="16"/>
  <c r="M429" i="16"/>
  <c r="P424" i="16"/>
  <c r="N424" i="16"/>
  <c r="L424" i="16"/>
  <c r="L422" i="16" s="1"/>
  <c r="P423" i="16"/>
  <c r="O423" i="16"/>
  <c r="P422" i="16"/>
  <c r="N422" i="16"/>
  <c r="M422" i="16"/>
  <c r="P421" i="16"/>
  <c r="M421" i="16"/>
  <c r="O420" i="16"/>
  <c r="N420" i="16"/>
  <c r="M420" i="16"/>
  <c r="P420" i="16" s="1"/>
  <c r="L420" i="16"/>
  <c r="M419" i="16"/>
  <c r="P419" i="16" s="1"/>
  <c r="J418" i="16"/>
  <c r="K413" i="16"/>
  <c r="K412" i="16"/>
  <c r="N410" i="16"/>
  <c r="N408" i="16" s="1"/>
  <c r="M410" i="16"/>
  <c r="L410" i="16"/>
  <c r="O410" i="16" s="1"/>
  <c r="P409" i="16"/>
  <c r="O409" i="16"/>
  <c r="N407" i="16"/>
  <c r="M407" i="16"/>
  <c r="L407" i="16"/>
  <c r="O407" i="16" s="1"/>
  <c r="P406" i="16"/>
  <c r="O406" i="16"/>
  <c r="N403" i="16"/>
  <c r="M403" i="16"/>
  <c r="L403" i="16"/>
  <c r="J401" i="16"/>
  <c r="I401" i="16"/>
  <c r="K401" i="16" s="1"/>
  <c r="K400" i="16"/>
  <c r="K399" i="16"/>
  <c r="N397" i="16"/>
  <c r="N395" i="16" s="1"/>
  <c r="M397" i="16"/>
  <c r="L397" i="16"/>
  <c r="L395" i="16" s="1"/>
  <c r="O395" i="16" s="1"/>
  <c r="P396" i="16"/>
  <c r="O396" i="16"/>
  <c r="N394" i="16"/>
  <c r="N392" i="16" s="1"/>
  <c r="M394" i="16"/>
  <c r="M392" i="16" s="1"/>
  <c r="P392" i="16" s="1"/>
  <c r="L394" i="16"/>
  <c r="L392" i="16" s="1"/>
  <c r="O392" i="16" s="1"/>
  <c r="P393" i="16"/>
  <c r="O393" i="16"/>
  <c r="O390" i="16"/>
  <c r="N390" i="16"/>
  <c r="M390" i="16"/>
  <c r="P390" i="16" s="1"/>
  <c r="L390" i="16"/>
  <c r="K388" i="16"/>
  <c r="J388" i="16"/>
  <c r="I388" i="16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I362" i="16"/>
  <c r="K361" i="16"/>
  <c r="J361" i="16"/>
  <c r="J360" i="16"/>
  <c r="I360" i="16"/>
  <c r="J359" i="16"/>
  <c r="I359" i="16"/>
  <c r="K358" i="16"/>
  <c r="J358" i="16"/>
  <c r="I355" i="16"/>
  <c r="N353" i="16"/>
  <c r="N351" i="16" s="1"/>
  <c r="M353" i="16"/>
  <c r="M351" i="16" s="1"/>
  <c r="L353" i="16"/>
  <c r="P352" i="16"/>
  <c r="O352" i="16"/>
  <c r="N350" i="16"/>
  <c r="N348" i="16" s="1"/>
  <c r="M350" i="16"/>
  <c r="M348" i="16" s="1"/>
  <c r="L350" i="16"/>
  <c r="L348" i="16" s="1"/>
  <c r="P349" i="16"/>
  <c r="O349" i="16"/>
  <c r="N346" i="16"/>
  <c r="M346" i="16"/>
  <c r="P346" i="16" s="1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L334" i="16" s="1"/>
  <c r="O334" i="16" s="1"/>
  <c r="P335" i="16"/>
  <c r="O335" i="16"/>
  <c r="N333" i="16"/>
  <c r="M333" i="16"/>
  <c r="M331" i="16" s="1"/>
  <c r="L333" i="16"/>
  <c r="L331" i="16" s="1"/>
  <c r="P332" i="16"/>
  <c r="O332" i="16"/>
  <c r="N329" i="16"/>
  <c r="M329" i="16"/>
  <c r="P329" i="16" s="1"/>
  <c r="L329" i="16"/>
  <c r="O329" i="16" s="1"/>
  <c r="I327" i="16"/>
  <c r="I325" i="16"/>
  <c r="K325" i="16" s="1"/>
  <c r="N323" i="16"/>
  <c r="N321" i="16" s="1"/>
  <c r="M323" i="16"/>
  <c r="M321" i="16" s="1"/>
  <c r="P321" i="16" s="1"/>
  <c r="L323" i="16"/>
  <c r="O323" i="16" s="1"/>
  <c r="P322" i="16"/>
  <c r="O322" i="16"/>
  <c r="N320" i="16"/>
  <c r="N318" i="16" s="1"/>
  <c r="M320" i="16"/>
  <c r="M318" i="16" s="1"/>
  <c r="P318" i="16" s="1"/>
  <c r="L320" i="16"/>
  <c r="O320" i="16" s="1"/>
  <c r="P319" i="16"/>
  <c r="O319" i="16"/>
  <c r="P316" i="16"/>
  <c r="O316" i="16"/>
  <c r="N316" i="16"/>
  <c r="M316" i="16"/>
  <c r="L316" i="16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P306" i="16" s="1"/>
  <c r="L306" i="16"/>
  <c r="P305" i="16"/>
  <c r="O305" i="16"/>
  <c r="N303" i="16"/>
  <c r="N301" i="16" s="1"/>
  <c r="M303" i="16"/>
  <c r="M301" i="16" s="1"/>
  <c r="L303" i="16"/>
  <c r="L301" i="16" s="1"/>
  <c r="P302" i="16"/>
  <c r="O302" i="16"/>
  <c r="P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K287" i="16" s="1"/>
  <c r="N285" i="16"/>
  <c r="N283" i="16" s="1"/>
  <c r="M285" i="16"/>
  <c r="P285" i="16" s="1"/>
  <c r="L285" i="16"/>
  <c r="O285" i="16" s="1"/>
  <c r="P284" i="16"/>
  <c r="O284" i="16"/>
  <c r="N282" i="16"/>
  <c r="M282" i="16"/>
  <c r="M280" i="16" s="1"/>
  <c r="L282" i="16"/>
  <c r="L280" i="16" s="1"/>
  <c r="P281" i="16"/>
  <c r="O281" i="16"/>
  <c r="N278" i="16"/>
  <c r="M278" i="16"/>
  <c r="L278" i="16"/>
  <c r="O278" i="16" s="1"/>
  <c r="J276" i="16"/>
  <c r="I271" i="16"/>
  <c r="K271" i="16" s="1"/>
  <c r="N269" i="16"/>
  <c r="N267" i="16" s="1"/>
  <c r="M269" i="16"/>
  <c r="P269" i="16" s="1"/>
  <c r="L269" i="16"/>
  <c r="O269" i="16" s="1"/>
  <c r="P268" i="16"/>
  <c r="O268" i="16"/>
  <c r="N266" i="16"/>
  <c r="N264" i="16" s="1"/>
  <c r="M266" i="16"/>
  <c r="M264" i="16" s="1"/>
  <c r="L266" i="16"/>
  <c r="L264" i="16" s="1"/>
  <c r="P265" i="16"/>
  <c r="O265" i="16"/>
  <c r="P262" i="16"/>
  <c r="N262" i="16"/>
  <c r="M262" i="16"/>
  <c r="L262" i="16"/>
  <c r="J260" i="16"/>
  <c r="K258" i="16"/>
  <c r="K257" i="16"/>
  <c r="I255" i="16"/>
  <c r="L253" i="16"/>
  <c r="L252" i="16"/>
  <c r="L251" i="16"/>
  <c r="L250" i="16"/>
  <c r="P249" i="16"/>
  <c r="N249" i="16"/>
  <c r="N227" i="16" s="1"/>
  <c r="J248" i="16"/>
  <c r="K247" i="16"/>
  <c r="K246" i="16"/>
  <c r="I244" i="16"/>
  <c r="L242" i="16"/>
  <c r="L241" i="16"/>
  <c r="L240" i="16"/>
  <c r="L239" i="16"/>
  <c r="P238" i="16"/>
  <c r="N238" i="16"/>
  <c r="J237" i="16"/>
  <c r="K236" i="16"/>
  <c r="J236" i="16"/>
  <c r="I236" i="16"/>
  <c r="J235" i="16"/>
  <c r="I235" i="16"/>
  <c r="K235" i="16" s="1"/>
  <c r="J233" i="16"/>
  <c r="N231" i="16"/>
  <c r="N230" i="16"/>
  <c r="N229" i="16"/>
  <c r="N228" i="16"/>
  <c r="I225" i="16"/>
  <c r="K225" i="16" s="1"/>
  <c r="I224" i="16"/>
  <c r="K224" i="16" s="1"/>
  <c r="I223" i="16"/>
  <c r="K223" i="16" s="1"/>
  <c r="L220" i="16"/>
  <c r="L219" i="16"/>
  <c r="L218" i="16"/>
  <c r="P217" i="16"/>
  <c r="N217" i="16"/>
  <c r="J216" i="16"/>
  <c r="I215" i="16"/>
  <c r="K215" i="16" s="1"/>
  <c r="I214" i="16"/>
  <c r="K214" i="16" s="1"/>
  <c r="L212" i="16"/>
  <c r="L211" i="16"/>
  <c r="L210" i="16"/>
  <c r="P209" i="16"/>
  <c r="N209" i="16"/>
  <c r="J208" i="16"/>
  <c r="K207" i="16"/>
  <c r="K206" i="16"/>
  <c r="I204" i="16"/>
  <c r="K204" i="16" s="1"/>
  <c r="L202" i="16"/>
  <c r="L201" i="16"/>
  <c r="L200" i="16"/>
  <c r="L199" i="16"/>
  <c r="P198" i="16"/>
  <c r="N198" i="16"/>
  <c r="J197" i="16"/>
  <c r="J194" i="16"/>
  <c r="I193" i="16"/>
  <c r="K193" i="16" s="1"/>
  <c r="P191" i="16"/>
  <c r="L191" i="16"/>
  <c r="O191" i="16" s="1"/>
  <c r="J190" i="16"/>
  <c r="N189" i="16"/>
  <c r="M189" i="16"/>
  <c r="M187" i="16" s="1"/>
  <c r="P187" i="16" s="1"/>
  <c r="L189" i="16"/>
  <c r="L187" i="16" s="1"/>
  <c r="O187" i="16" s="1"/>
  <c r="P188" i="16"/>
  <c r="O188" i="16"/>
  <c r="N186" i="16"/>
  <c r="M186" i="16"/>
  <c r="M184" i="16" s="1"/>
  <c r="L186" i="16"/>
  <c r="L184" i="16" s="1"/>
  <c r="P185" i="16"/>
  <c r="O185" i="16"/>
  <c r="P182" i="16"/>
  <c r="O182" i="16"/>
  <c r="N182" i="16"/>
  <c r="M182" i="16"/>
  <c r="L182" i="16"/>
  <c r="J177" i="16"/>
  <c r="J164" i="16" s="1"/>
  <c r="I176" i="16"/>
  <c r="I174" i="16" s="1"/>
  <c r="J174" i="16"/>
  <c r="N173" i="16"/>
  <c r="N171" i="16" s="1"/>
  <c r="M173" i="16"/>
  <c r="M171" i="16" s="1"/>
  <c r="P171" i="16" s="1"/>
  <c r="L173" i="16"/>
  <c r="O173" i="16" s="1"/>
  <c r="P172" i="16"/>
  <c r="O172" i="16"/>
  <c r="N170" i="16"/>
  <c r="N168" i="16" s="1"/>
  <c r="M170" i="16"/>
  <c r="M168" i="16" s="1"/>
  <c r="L170" i="16"/>
  <c r="L168" i="16" s="1"/>
  <c r="P169" i="16"/>
  <c r="O169" i="16"/>
  <c r="N166" i="16"/>
  <c r="M166" i="16"/>
  <c r="L166" i="16"/>
  <c r="O166" i="16" s="1"/>
  <c r="I159" i="16"/>
  <c r="K159" i="16" s="1"/>
  <c r="N157" i="16"/>
  <c r="N155" i="16" s="1"/>
  <c r="M157" i="16"/>
  <c r="P157" i="16" s="1"/>
  <c r="L157" i="16"/>
  <c r="O157" i="16" s="1"/>
  <c r="P156" i="16"/>
  <c r="O156" i="16"/>
  <c r="N154" i="16"/>
  <c r="N152" i="16" s="1"/>
  <c r="M154" i="16"/>
  <c r="L154" i="16"/>
  <c r="O154" i="16" s="1"/>
  <c r="P153" i="16"/>
  <c r="O153" i="16"/>
  <c r="P150" i="16"/>
  <c r="O150" i="16"/>
  <c r="N150" i="16"/>
  <c r="M150" i="16"/>
  <c r="L150" i="16"/>
  <c r="J148" i="16"/>
  <c r="I146" i="16"/>
  <c r="I130" i="16" s="1"/>
  <c r="K130" i="16" s="1"/>
  <c r="I145" i="16"/>
  <c r="I144" i="16"/>
  <c r="K144" i="16" s="1"/>
  <c r="N140" i="16"/>
  <c r="N138" i="16" s="1"/>
  <c r="M140" i="16"/>
  <c r="P140" i="16" s="1"/>
  <c r="L140" i="16"/>
  <c r="L138" i="16" s="1"/>
  <c r="O138" i="16" s="1"/>
  <c r="P139" i="16"/>
  <c r="O139" i="16"/>
  <c r="N137" i="16"/>
  <c r="N135" i="16" s="1"/>
  <c r="M137" i="16"/>
  <c r="P137" i="16" s="1"/>
  <c r="L137" i="16"/>
  <c r="L135" i="16" s="1"/>
  <c r="O135" i="16" s="1"/>
  <c r="P136" i="16"/>
  <c r="O136" i="16"/>
  <c r="N133" i="16"/>
  <c r="M133" i="16"/>
  <c r="P133" i="16" s="1"/>
  <c r="L133" i="16"/>
  <c r="O133" i="16" s="1"/>
  <c r="J130" i="16"/>
  <c r="N127" i="16"/>
  <c r="N125" i="16" s="1"/>
  <c r="M127" i="16"/>
  <c r="P127" i="16" s="1"/>
  <c r="L127" i="16"/>
  <c r="L125" i="16" s="1"/>
  <c r="O125" i="16" s="1"/>
  <c r="P126" i="16"/>
  <c r="O126" i="16"/>
  <c r="N124" i="16"/>
  <c r="M124" i="16"/>
  <c r="P124" i="16" s="1"/>
  <c r="L124" i="16"/>
  <c r="O124" i="16" s="1"/>
  <c r="P123" i="16"/>
  <c r="O123" i="16"/>
  <c r="P120" i="16"/>
  <c r="N120" i="16"/>
  <c r="M120" i="16"/>
  <c r="L120" i="16"/>
  <c r="J118" i="16"/>
  <c r="K118" i="16" s="1"/>
  <c r="I116" i="16"/>
  <c r="K116" i="16" s="1"/>
  <c r="I115" i="16"/>
  <c r="K115" i="16" s="1"/>
  <c r="I114" i="16"/>
  <c r="K114" i="16" s="1"/>
  <c r="I113" i="16"/>
  <c r="K113" i="16" s="1"/>
  <c r="J112" i="16"/>
  <c r="J111" i="16"/>
  <c r="I111" i="16"/>
  <c r="K111" i="16" s="1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I87" i="16" s="1"/>
  <c r="K87" i="16" s="1"/>
  <c r="J98" i="16"/>
  <c r="I98" i="16"/>
  <c r="I86" i="16" s="1"/>
  <c r="K86" i="16" s="1"/>
  <c r="N96" i="16"/>
  <c r="N94" i="16" s="1"/>
  <c r="M96" i="16"/>
  <c r="M94" i="16" s="1"/>
  <c r="P94" i="16" s="1"/>
  <c r="L96" i="16"/>
  <c r="O96" i="16" s="1"/>
  <c r="P95" i="16"/>
  <c r="O95" i="16"/>
  <c r="N93" i="16"/>
  <c r="N91" i="16" s="1"/>
  <c r="M93" i="16"/>
  <c r="M91" i="16" s="1"/>
  <c r="L93" i="16"/>
  <c r="P92" i="16"/>
  <c r="O92" i="16"/>
  <c r="P89" i="16"/>
  <c r="O89" i="16"/>
  <c r="N89" i="16"/>
  <c r="M89" i="16"/>
  <c r="L89" i="16"/>
  <c r="J87" i="16"/>
  <c r="J86" i="16"/>
  <c r="I84" i="16"/>
  <c r="K84" i="16" s="1"/>
  <c r="I83" i="16"/>
  <c r="K83" i="16" s="1"/>
  <c r="I82" i="16"/>
  <c r="K82" i="16" s="1"/>
  <c r="I81" i="16"/>
  <c r="K81" i="16" s="1"/>
  <c r="I80" i="16"/>
  <c r="I79" i="16"/>
  <c r="K79" i="16" s="1"/>
  <c r="I78" i="16"/>
  <c r="K78" i="16" s="1"/>
  <c r="J77" i="16"/>
  <c r="J65" i="16" s="1"/>
  <c r="J76" i="16"/>
  <c r="N74" i="16"/>
  <c r="N72" i="16" s="1"/>
  <c r="M74" i="16"/>
  <c r="L74" i="16"/>
  <c r="P73" i="16"/>
  <c r="O73" i="16"/>
  <c r="N71" i="16"/>
  <c r="N69" i="16" s="1"/>
  <c r="M71" i="16"/>
  <c r="L71" i="16"/>
  <c r="P70" i="16"/>
  <c r="O70" i="16"/>
  <c r="N67" i="16"/>
  <c r="M67" i="16"/>
  <c r="P67" i="16" s="1"/>
  <c r="L67" i="16"/>
  <c r="O67" i="16" s="1"/>
  <c r="J64" i="16"/>
  <c r="N61" i="16"/>
  <c r="N59" i="16" s="1"/>
  <c r="M61" i="16"/>
  <c r="L61" i="16"/>
  <c r="P60" i="16"/>
  <c r="O60" i="16"/>
  <c r="N58" i="16"/>
  <c r="N56" i="16" s="1"/>
  <c r="M58" i="16"/>
  <c r="L58" i="16"/>
  <c r="P57" i="16"/>
  <c r="O57" i="16"/>
  <c r="P54" i="16"/>
  <c r="O54" i="16"/>
  <c r="N54" i="16"/>
  <c r="M54" i="16"/>
  <c r="L54" i="16"/>
  <c r="N49" i="16"/>
  <c r="N47" i="16" s="1"/>
  <c r="M49" i="16"/>
  <c r="L49" i="16"/>
  <c r="O49" i="16" s="1"/>
  <c r="P48" i="16"/>
  <c r="O48" i="16"/>
  <c r="N46" i="16"/>
  <c r="M46" i="16"/>
  <c r="L46" i="16"/>
  <c r="L44" i="16" s="1"/>
  <c r="P45" i="16"/>
  <c r="O45" i="16"/>
  <c r="N42" i="16"/>
  <c r="M42" i="16"/>
  <c r="P42" i="16" s="1"/>
  <c r="L42" i="16"/>
  <c r="O42" i="16" s="1"/>
  <c r="P36" i="16"/>
  <c r="N36" i="16"/>
  <c r="M36" i="16"/>
  <c r="P35" i="16"/>
  <c r="O35" i="16"/>
  <c r="N35" i="16"/>
  <c r="N15" i="16" s="1"/>
  <c r="M35" i="16"/>
  <c r="L35" i="16"/>
  <c r="M34" i="16"/>
  <c r="P34" i="16" s="1"/>
  <c r="N33" i="16"/>
  <c r="M33" i="16"/>
  <c r="N32" i="16"/>
  <c r="M32" i="16"/>
  <c r="L32" i="16"/>
  <c r="N29" i="16"/>
  <c r="N25" i="16"/>
  <c r="M25" i="16"/>
  <c r="M19" i="16" s="1"/>
  <c r="L25" i="16"/>
  <c r="P22" i="16"/>
  <c r="O22" i="16"/>
  <c r="N22" i="16"/>
  <c r="M22" i="16"/>
  <c r="L22" i="16"/>
  <c r="M12" i="16"/>
  <c r="L12" i="16"/>
  <c r="O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O815" i="15"/>
  <c r="N815" i="15"/>
  <c r="M815" i="15"/>
  <c r="L815" i="15"/>
  <c r="P810" i="15"/>
  <c r="O810" i="15"/>
  <c r="N810" i="15"/>
  <c r="P809" i="15"/>
  <c r="O809" i="15"/>
  <c r="O808" i="15"/>
  <c r="N808" i="15"/>
  <c r="M808" i="15"/>
  <c r="P808" i="15" s="1"/>
  <c r="L808" i="15"/>
  <c r="N807" i="15"/>
  <c r="N805" i="15" s="1"/>
  <c r="M807" i="15"/>
  <c r="P807" i="15" s="1"/>
  <c r="L807" i="15"/>
  <c r="O807" i="15" s="1"/>
  <c r="N806" i="15"/>
  <c r="M806" i="15"/>
  <c r="L806" i="15"/>
  <c r="O806" i="15" s="1"/>
  <c r="L805" i="15"/>
  <c r="O805" i="15" s="1"/>
  <c r="K804" i="15"/>
  <c r="J804" i="15"/>
  <c r="J803" i="15"/>
  <c r="I803" i="15"/>
  <c r="K803" i="15" s="1"/>
  <c r="J802" i="15"/>
  <c r="J801" i="15"/>
  <c r="I801" i="15"/>
  <c r="J800" i="15"/>
  <c r="P798" i="15"/>
  <c r="O798" i="15"/>
  <c r="P797" i="15"/>
  <c r="O797" i="15"/>
  <c r="N796" i="15"/>
  <c r="M796" i="15"/>
  <c r="P796" i="15" s="1"/>
  <c r="L796" i="15"/>
  <c r="O796" i="15" s="1"/>
  <c r="P791" i="15"/>
  <c r="N791" i="15"/>
  <c r="L791" i="15"/>
  <c r="L788" i="15" s="1"/>
  <c r="P790" i="15"/>
  <c r="O790" i="15"/>
  <c r="P789" i="15"/>
  <c r="N789" i="15"/>
  <c r="M789" i="15"/>
  <c r="P788" i="15"/>
  <c r="M788" i="15"/>
  <c r="M786" i="15" s="1"/>
  <c r="P786" i="15" s="1"/>
  <c r="P787" i="15"/>
  <c r="O787" i="15"/>
  <c r="N787" i="15"/>
  <c r="M787" i="15"/>
  <c r="L787" i="15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M773" i="15"/>
  <c r="P773" i="15" s="1"/>
  <c r="L773" i="15"/>
  <c r="O773" i="15" s="1"/>
  <c r="P772" i="15"/>
  <c r="M772" i="15"/>
  <c r="L772" i="15"/>
  <c r="P771" i="15"/>
  <c r="O771" i="15"/>
  <c r="N771" i="15"/>
  <c r="M771" i="15"/>
  <c r="M770" i="15" s="1"/>
  <c r="P770" i="15" s="1"/>
  <c r="L771" i="15"/>
  <c r="K769" i="15"/>
  <c r="J769" i="15"/>
  <c r="P766" i="15"/>
  <c r="O766" i="15"/>
  <c r="P765" i="15"/>
  <c r="O765" i="15"/>
  <c r="O764" i="15"/>
  <c r="N764" i="15"/>
  <c r="M764" i="15"/>
  <c r="P764" i="15" s="1"/>
  <c r="L764" i="15"/>
  <c r="P759" i="15"/>
  <c r="O759" i="15"/>
  <c r="N759" i="15"/>
  <c r="P758" i="15"/>
  <c r="O758" i="15"/>
  <c r="M757" i="15"/>
  <c r="P757" i="15" s="1"/>
  <c r="L757" i="15"/>
  <c r="O757" i="15" s="1"/>
  <c r="P756" i="15"/>
  <c r="M756" i="15"/>
  <c r="L756" i="15"/>
  <c r="P755" i="15"/>
  <c r="O755" i="15"/>
  <c r="N755" i="15"/>
  <c r="M755" i="15"/>
  <c r="M754" i="15" s="1"/>
  <c r="P754" i="15" s="1"/>
  <c r="L755" i="15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M740" i="15"/>
  <c r="P740" i="15" s="1"/>
  <c r="L740" i="15"/>
  <c r="O740" i="15" s="1"/>
  <c r="P739" i="15"/>
  <c r="M739" i="15"/>
  <c r="L739" i="15"/>
  <c r="P738" i="15"/>
  <c r="O738" i="15"/>
  <c r="N738" i="15"/>
  <c r="M738" i="15"/>
  <c r="M737" i="15" s="1"/>
  <c r="P737" i="15" s="1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P690" i="15"/>
  <c r="N690" i="15"/>
  <c r="L690" i="15"/>
  <c r="L688" i="15" s="1"/>
  <c r="M688" i="15"/>
  <c r="P688" i="15" s="1"/>
  <c r="P687" i="15"/>
  <c r="M687" i="15"/>
  <c r="P686" i="15"/>
  <c r="O686" i="15"/>
  <c r="N686" i="15"/>
  <c r="M686" i="15"/>
  <c r="M685" i="15" s="1"/>
  <c r="P685" i="15" s="1"/>
  <c r="L686" i="15"/>
  <c r="J679" i="15"/>
  <c r="J678" i="15"/>
  <c r="I678" i="15"/>
  <c r="K678" i="15" s="1"/>
  <c r="J675" i="15"/>
  <c r="I671" i="15"/>
  <c r="K671" i="15" s="1"/>
  <c r="I670" i="15"/>
  <c r="K670" i="15" s="1"/>
  <c r="J669" i="15"/>
  <c r="J654" i="15" s="1"/>
  <c r="I669" i="15"/>
  <c r="K672" i="15" s="1"/>
  <c r="P667" i="15"/>
  <c r="O667" i="15"/>
  <c r="P666" i="15"/>
  <c r="O666" i="15"/>
  <c r="P665" i="15"/>
  <c r="O665" i="15"/>
  <c r="N665" i="15"/>
  <c r="M665" i="15"/>
  <c r="L665" i="15"/>
  <c r="P660" i="15"/>
  <c r="N660" i="15"/>
  <c r="L660" i="15"/>
  <c r="O660" i="15" s="1"/>
  <c r="P659" i="15"/>
  <c r="O659" i="15"/>
  <c r="M658" i="15"/>
  <c r="P658" i="15" s="1"/>
  <c r="M657" i="15"/>
  <c r="P657" i="15" s="1"/>
  <c r="N656" i="15"/>
  <c r="M656" i="15"/>
  <c r="L656" i="15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O641" i="15" s="1"/>
  <c r="P640" i="15"/>
  <c r="O640" i="15"/>
  <c r="P639" i="15"/>
  <c r="N639" i="15"/>
  <c r="M639" i="15"/>
  <c r="L639" i="15"/>
  <c r="O639" i="15" s="1"/>
  <c r="P634" i="15"/>
  <c r="N634" i="15"/>
  <c r="L634" i="15"/>
  <c r="O634" i="15" s="1"/>
  <c r="P633" i="15"/>
  <c r="O633" i="15"/>
  <c r="P632" i="15"/>
  <c r="N632" i="15"/>
  <c r="M632" i="15"/>
  <c r="P631" i="15"/>
  <c r="N631" i="15"/>
  <c r="M631" i="15"/>
  <c r="O630" i="15"/>
  <c r="N630" i="15"/>
  <c r="M630" i="15"/>
  <c r="P630" i="15" s="1"/>
  <c r="L630" i="15"/>
  <c r="N629" i="15"/>
  <c r="M629" i="15"/>
  <c r="P629" i="15" s="1"/>
  <c r="J621" i="15"/>
  <c r="I621" i="15"/>
  <c r="J620" i="15"/>
  <c r="I620" i="15"/>
  <c r="K613" i="15"/>
  <c r="J613" i="15"/>
  <c r="K612" i="15"/>
  <c r="J612" i="15"/>
  <c r="K611" i="15"/>
  <c r="J611" i="15"/>
  <c r="J604" i="15"/>
  <c r="J603" i="15"/>
  <c r="J593" i="15" s="1"/>
  <c r="J592" i="15" s="1"/>
  <c r="J596" i="15"/>
  <c r="J594" i="15" s="1"/>
  <c r="J595" i="15"/>
  <c r="I594" i="15"/>
  <c r="I593" i="15"/>
  <c r="K593" i="15" s="1"/>
  <c r="J583" i="15"/>
  <c r="J577" i="15" s="1"/>
  <c r="J582" i="15"/>
  <c r="I577" i="15"/>
  <c r="J576" i="15"/>
  <c r="I576" i="15"/>
  <c r="I559" i="15" s="1"/>
  <c r="J569" i="15"/>
  <c r="I569" i="15"/>
  <c r="J568" i="15"/>
  <c r="I568" i="15"/>
  <c r="K568" i="15" s="1"/>
  <c r="J561" i="15"/>
  <c r="I561" i="15"/>
  <c r="J560" i="15"/>
  <c r="I560" i="15"/>
  <c r="K560" i="15" s="1"/>
  <c r="J559" i="15"/>
  <c r="P557" i="15"/>
  <c r="L557" i="15"/>
  <c r="L555" i="15" s="1"/>
  <c r="O555" i="15" s="1"/>
  <c r="P556" i="15"/>
  <c r="O556" i="15"/>
  <c r="N555" i="15"/>
  <c r="N545" i="15" s="1"/>
  <c r="N544" i="15" s="1"/>
  <c r="M555" i="15"/>
  <c r="P555" i="15" s="1"/>
  <c r="P549" i="15"/>
  <c r="N549" i="15"/>
  <c r="N546" i="15" s="1"/>
  <c r="L549" i="15"/>
  <c r="P548" i="15"/>
  <c r="O548" i="15"/>
  <c r="N547" i="15"/>
  <c r="M547" i="15"/>
  <c r="P547" i="15" s="1"/>
  <c r="M546" i="15"/>
  <c r="P546" i="15" s="1"/>
  <c r="L545" i="15"/>
  <c r="J543" i="15"/>
  <c r="I542" i="15"/>
  <c r="K542" i="15" s="1"/>
  <c r="I541" i="15"/>
  <c r="K541" i="15" s="1"/>
  <c r="I540" i="15"/>
  <c r="K540" i="15" s="1"/>
  <c r="I539" i="15"/>
  <c r="K539" i="15" s="1"/>
  <c r="I538" i="15"/>
  <c r="I537" i="15"/>
  <c r="I522" i="15" s="1"/>
  <c r="K522" i="15" s="1"/>
  <c r="P535" i="15"/>
  <c r="L535" i="15"/>
  <c r="L533" i="15" s="1"/>
  <c r="O533" i="15" s="1"/>
  <c r="P534" i="15"/>
  <c r="O534" i="15"/>
  <c r="N533" i="15"/>
  <c r="M533" i="15"/>
  <c r="P533" i="15" s="1"/>
  <c r="P528" i="15"/>
  <c r="N528" i="15"/>
  <c r="L528" i="15"/>
  <c r="O528" i="15" s="1"/>
  <c r="P527" i="15"/>
  <c r="O527" i="15"/>
  <c r="M526" i="15"/>
  <c r="P526" i="15" s="1"/>
  <c r="M525" i="15"/>
  <c r="M523" i="15" s="1"/>
  <c r="P523" i="15" s="1"/>
  <c r="P524" i="15"/>
  <c r="N524" i="15"/>
  <c r="M524" i="15"/>
  <c r="L524" i="15"/>
  <c r="O524" i="15" s="1"/>
  <c r="K517" i="15"/>
  <c r="J517" i="15"/>
  <c r="K516" i="15"/>
  <c r="P514" i="15"/>
  <c r="O514" i="15"/>
  <c r="P513" i="15"/>
  <c r="O513" i="15"/>
  <c r="N512" i="15"/>
  <c r="M512" i="15"/>
  <c r="P512" i="15" s="1"/>
  <c r="L512" i="15"/>
  <c r="O512" i="15" s="1"/>
  <c r="P507" i="15"/>
  <c r="O507" i="15"/>
  <c r="N507" i="15"/>
  <c r="N505" i="15" s="1"/>
  <c r="P506" i="15"/>
  <c r="O506" i="15"/>
  <c r="P505" i="15"/>
  <c r="M505" i="15"/>
  <c r="L505" i="15"/>
  <c r="O505" i="15" s="1"/>
  <c r="O504" i="15"/>
  <c r="N504" i="15"/>
  <c r="M504" i="15"/>
  <c r="P504" i="15" s="1"/>
  <c r="L504" i="15"/>
  <c r="P503" i="15"/>
  <c r="N503" i="15"/>
  <c r="N502" i="15" s="1"/>
  <c r="M503" i="15"/>
  <c r="M502" i="15" s="1"/>
  <c r="P502" i="15" s="1"/>
  <c r="L503" i="15"/>
  <c r="O503" i="15" s="1"/>
  <c r="L502" i="15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P478" i="15"/>
  <c r="O478" i="15"/>
  <c r="P477" i="15"/>
  <c r="N477" i="15"/>
  <c r="M477" i="15"/>
  <c r="P472" i="15"/>
  <c r="N472" i="15"/>
  <c r="L472" i="15"/>
  <c r="L470" i="15" s="1"/>
  <c r="O470" i="15" s="1"/>
  <c r="P471" i="15"/>
  <c r="O471" i="15"/>
  <c r="P470" i="15"/>
  <c r="N470" i="15"/>
  <c r="M470" i="15"/>
  <c r="N469" i="15"/>
  <c r="M469" i="15"/>
  <c r="P469" i="15" s="1"/>
  <c r="N468" i="15"/>
  <c r="M468" i="15"/>
  <c r="P468" i="15" s="1"/>
  <c r="L468" i="15"/>
  <c r="O468" i="15" s="1"/>
  <c r="M467" i="15"/>
  <c r="P467" i="15" s="1"/>
  <c r="J466" i="15"/>
  <c r="I466" i="15"/>
  <c r="K466" i="15" s="1"/>
  <c r="J465" i="15"/>
  <c r="I465" i="15"/>
  <c r="K465" i="15" s="1"/>
  <c r="I464" i="15"/>
  <c r="I463" i="15"/>
  <c r="I462" i="15"/>
  <c r="I443" i="15" s="1"/>
  <c r="I460" i="15"/>
  <c r="K458" i="15"/>
  <c r="P456" i="15"/>
  <c r="L456" i="15"/>
  <c r="O456" i="15" s="1"/>
  <c r="P455" i="15"/>
  <c r="O455" i="15"/>
  <c r="P454" i="15"/>
  <c r="N454" i="15"/>
  <c r="M454" i="15"/>
  <c r="P449" i="15"/>
  <c r="N449" i="15"/>
  <c r="N446" i="15" s="1"/>
  <c r="L449" i="15"/>
  <c r="P448" i="15"/>
  <c r="O448" i="15"/>
  <c r="N447" i="15"/>
  <c r="M447" i="15"/>
  <c r="P447" i="15" s="1"/>
  <c r="P446" i="15"/>
  <c r="M446" i="15"/>
  <c r="O445" i="15"/>
  <c r="N445" i="15"/>
  <c r="N444" i="15" s="1"/>
  <c r="M445" i="15"/>
  <c r="P445" i="15" s="1"/>
  <c r="L445" i="15"/>
  <c r="P444" i="15"/>
  <c r="M444" i="15"/>
  <c r="J443" i="15"/>
  <c r="J442" i="15"/>
  <c r="I441" i="15"/>
  <c r="K441" i="15" s="1"/>
  <c r="I440" i="15"/>
  <c r="K440" i="15" s="1"/>
  <c r="I439" i="15"/>
  <c r="K439" i="15" s="1"/>
  <c r="I438" i="15"/>
  <c r="I437" i="15"/>
  <c r="K437" i="15" s="1"/>
  <c r="I435" i="15"/>
  <c r="I433" i="15" s="1"/>
  <c r="I417" i="15" s="1"/>
  <c r="J434" i="15"/>
  <c r="J418" i="15" s="1"/>
  <c r="P431" i="15"/>
  <c r="L431" i="15"/>
  <c r="O431" i="15" s="1"/>
  <c r="P430" i="15"/>
  <c r="O430" i="15"/>
  <c r="P429" i="15"/>
  <c r="N429" i="15"/>
  <c r="M429" i="15"/>
  <c r="P424" i="15"/>
  <c r="N424" i="15"/>
  <c r="N421" i="15" s="1"/>
  <c r="L424" i="15"/>
  <c r="P423" i="15"/>
  <c r="O423" i="15"/>
  <c r="P422" i="15"/>
  <c r="N422" i="15"/>
  <c r="M422" i="15"/>
  <c r="P421" i="15"/>
  <c r="M421" i="15"/>
  <c r="O420" i="15"/>
  <c r="N420" i="15"/>
  <c r="M420" i="15"/>
  <c r="P420" i="15" s="1"/>
  <c r="L420" i="15"/>
  <c r="N419" i="15"/>
  <c r="M419" i="15"/>
  <c r="K413" i="15"/>
  <c r="K412" i="15"/>
  <c r="N410" i="15"/>
  <c r="N408" i="15" s="1"/>
  <c r="M410" i="15"/>
  <c r="L410" i="15"/>
  <c r="O410" i="15" s="1"/>
  <c r="P409" i="15"/>
  <c r="O409" i="15"/>
  <c r="N407" i="15"/>
  <c r="N405" i="15" s="1"/>
  <c r="M407" i="15"/>
  <c r="M405" i="15" s="1"/>
  <c r="P405" i="15" s="1"/>
  <c r="L407" i="15"/>
  <c r="O407" i="15" s="1"/>
  <c r="P406" i="15"/>
  <c r="O406" i="15"/>
  <c r="N403" i="15"/>
  <c r="M403" i="15"/>
  <c r="L403" i="15"/>
  <c r="K401" i="15"/>
  <c r="J401" i="15"/>
  <c r="I401" i="15"/>
  <c r="K400" i="15"/>
  <c r="K399" i="15"/>
  <c r="N397" i="15"/>
  <c r="N395" i="15" s="1"/>
  <c r="M397" i="15"/>
  <c r="P397" i="15" s="1"/>
  <c r="L397" i="15"/>
  <c r="P396" i="15"/>
  <c r="O396" i="15"/>
  <c r="N394" i="15"/>
  <c r="N392" i="15" s="1"/>
  <c r="M394" i="15"/>
  <c r="P394" i="15" s="1"/>
  <c r="L394" i="15"/>
  <c r="L392" i="15" s="1"/>
  <c r="O392" i="15" s="1"/>
  <c r="P393" i="15"/>
  <c r="O393" i="15"/>
  <c r="O390" i="15"/>
  <c r="N390" i="15"/>
  <c r="M390" i="15"/>
  <c r="P390" i="15" s="1"/>
  <c r="L390" i="15"/>
  <c r="K388" i="15"/>
  <c r="J388" i="15"/>
  <c r="I388" i="15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L353" i="15"/>
  <c r="P352" i="15"/>
  <c r="O352" i="15"/>
  <c r="N350" i="15"/>
  <c r="M350" i="15"/>
  <c r="M348" i="15" s="1"/>
  <c r="L350" i="15"/>
  <c r="L348" i="15" s="1"/>
  <c r="P349" i="15"/>
  <c r="O349" i="15"/>
  <c r="P346" i="15"/>
  <c r="O346" i="15"/>
  <c r="N346" i="15"/>
  <c r="M346" i="15"/>
  <c r="L346" i="15"/>
  <c r="J343" i="15"/>
  <c r="J342" i="15"/>
  <c r="J341" i="15"/>
  <c r="J340" i="15"/>
  <c r="I340" i="15"/>
  <c r="J338" i="15"/>
  <c r="I338" i="15"/>
  <c r="N336" i="15"/>
  <c r="N334" i="15" s="1"/>
  <c r="M336" i="15"/>
  <c r="P336" i="15" s="1"/>
  <c r="L336" i="15"/>
  <c r="L334" i="15" s="1"/>
  <c r="O334" i="15" s="1"/>
  <c r="P335" i="15"/>
  <c r="O335" i="15"/>
  <c r="N333" i="15"/>
  <c r="M333" i="15"/>
  <c r="M331" i="15" s="1"/>
  <c r="L333" i="15"/>
  <c r="L331" i="15" s="1"/>
  <c r="P332" i="15"/>
  <c r="O332" i="15"/>
  <c r="O329" i="15"/>
  <c r="N329" i="15"/>
  <c r="M329" i="15"/>
  <c r="P329" i="15" s="1"/>
  <c r="L329" i="15"/>
  <c r="I327" i="15"/>
  <c r="I325" i="15"/>
  <c r="K325" i="15" s="1"/>
  <c r="N323" i="15"/>
  <c r="N321" i="15" s="1"/>
  <c r="M323" i="15"/>
  <c r="P323" i="15" s="1"/>
  <c r="L323" i="15"/>
  <c r="O323" i="15" s="1"/>
  <c r="P322" i="15"/>
  <c r="O322" i="15"/>
  <c r="N320" i="15"/>
  <c r="M320" i="15"/>
  <c r="L320" i="15"/>
  <c r="O320" i="15" s="1"/>
  <c r="P319" i="15"/>
  <c r="O319" i="15"/>
  <c r="P316" i="15"/>
  <c r="N316" i="15"/>
  <c r="M316" i="15"/>
  <c r="L316" i="15"/>
  <c r="O316" i="15" s="1"/>
  <c r="J314" i="15"/>
  <c r="I312" i="15"/>
  <c r="K312" i="15" s="1"/>
  <c r="I311" i="15"/>
  <c r="K311" i="15" s="1"/>
  <c r="I310" i="15"/>
  <c r="K310" i="15" s="1"/>
  <c r="I309" i="15"/>
  <c r="K309" i="15" s="1"/>
  <c r="N306" i="15"/>
  <c r="N304" i="15" s="1"/>
  <c r="M306" i="15"/>
  <c r="M304" i="15" s="1"/>
  <c r="P304" i="15" s="1"/>
  <c r="L306" i="15"/>
  <c r="L304" i="15" s="1"/>
  <c r="O304" i="15" s="1"/>
  <c r="P305" i="15"/>
  <c r="O305" i="15"/>
  <c r="N303" i="15"/>
  <c r="M303" i="15"/>
  <c r="M301" i="15" s="1"/>
  <c r="L303" i="15"/>
  <c r="L301" i="15" s="1"/>
  <c r="P302" i="15"/>
  <c r="O302" i="15"/>
  <c r="N299" i="15"/>
  <c r="M299" i="15"/>
  <c r="P299" i="15" s="1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I275" i="15" s="1"/>
  <c r="I287" i="15"/>
  <c r="K287" i="15" s="1"/>
  <c r="N285" i="15"/>
  <c r="N283" i="15" s="1"/>
  <c r="M285" i="15"/>
  <c r="M283" i="15" s="1"/>
  <c r="P283" i="15" s="1"/>
  <c r="L285" i="15"/>
  <c r="O285" i="15" s="1"/>
  <c r="P284" i="15"/>
  <c r="O284" i="15"/>
  <c r="N282" i="15"/>
  <c r="M282" i="15"/>
  <c r="M280" i="15" s="1"/>
  <c r="L282" i="15"/>
  <c r="P281" i="15"/>
  <c r="O281" i="15"/>
  <c r="O278" i="15"/>
  <c r="N278" i="15"/>
  <c r="M278" i="15"/>
  <c r="L278" i="15"/>
  <c r="J276" i="15"/>
  <c r="I271" i="15"/>
  <c r="K271" i="15" s="1"/>
  <c r="N269" i="15"/>
  <c r="N267" i="15" s="1"/>
  <c r="M269" i="15"/>
  <c r="L269" i="15"/>
  <c r="L267" i="15" s="1"/>
  <c r="O267" i="15" s="1"/>
  <c r="P268" i="15"/>
  <c r="O268" i="15"/>
  <c r="N266" i="15"/>
  <c r="N264" i="15" s="1"/>
  <c r="M266" i="15"/>
  <c r="M264" i="15" s="1"/>
  <c r="L266" i="15"/>
  <c r="L264" i="15" s="1"/>
  <c r="P265" i="15"/>
  <c r="O265" i="15"/>
  <c r="N262" i="15"/>
  <c r="M262" i="15"/>
  <c r="P262" i="15" s="1"/>
  <c r="L262" i="15"/>
  <c r="J260" i="15"/>
  <c r="K258" i="15"/>
  <c r="K257" i="15"/>
  <c r="I255" i="15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N227" i="15" s="1"/>
  <c r="J237" i="15"/>
  <c r="J226" i="15" s="1"/>
  <c r="J180" i="15" s="1"/>
  <c r="K236" i="15"/>
  <c r="J236" i="15"/>
  <c r="I236" i="15"/>
  <c r="K235" i="15"/>
  <c r="J235" i="15"/>
  <c r="I235" i="15"/>
  <c r="J233" i="15"/>
  <c r="N231" i="15"/>
  <c r="N230" i="15"/>
  <c r="N229" i="15"/>
  <c r="N228" i="15"/>
  <c r="I225" i="15"/>
  <c r="K225" i="15" s="1"/>
  <c r="I224" i="15"/>
  <c r="I216" i="15" s="1"/>
  <c r="K216" i="15" s="1"/>
  <c r="I223" i="15"/>
  <c r="K223" i="15" s="1"/>
  <c r="L220" i="15"/>
  <c r="L219" i="15"/>
  <c r="L218" i="15"/>
  <c r="P217" i="15"/>
  <c r="N217" i="15"/>
  <c r="J216" i="15"/>
  <c r="I215" i="15"/>
  <c r="K215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I197" i="15" s="1"/>
  <c r="K197" i="15" s="1"/>
  <c r="L202" i="15"/>
  <c r="L201" i="15"/>
  <c r="L200" i="15"/>
  <c r="L199" i="15"/>
  <c r="P198" i="15"/>
  <c r="N198" i="15"/>
  <c r="J197" i="15"/>
  <c r="J194" i="15"/>
  <c r="I193" i="15"/>
  <c r="K193" i="15" s="1"/>
  <c r="P191" i="15"/>
  <c r="L191" i="15"/>
  <c r="O191" i="15" s="1"/>
  <c r="J190" i="15"/>
  <c r="N189" i="15"/>
  <c r="N187" i="15" s="1"/>
  <c r="M189" i="15"/>
  <c r="L189" i="15"/>
  <c r="O189" i="15" s="1"/>
  <c r="P188" i="15"/>
  <c r="O188" i="15"/>
  <c r="N186" i="15"/>
  <c r="N184" i="15" s="1"/>
  <c r="M186" i="15"/>
  <c r="L186" i="15"/>
  <c r="P185" i="15"/>
  <c r="O185" i="15"/>
  <c r="P182" i="15"/>
  <c r="N182" i="15"/>
  <c r="M182" i="15"/>
  <c r="L182" i="15"/>
  <c r="O182" i="15" s="1"/>
  <c r="J177" i="15"/>
  <c r="I176" i="15"/>
  <c r="K176" i="15" s="1"/>
  <c r="J174" i="15"/>
  <c r="N173" i="15"/>
  <c r="N171" i="15" s="1"/>
  <c r="M173" i="15"/>
  <c r="L173" i="15"/>
  <c r="O173" i="15" s="1"/>
  <c r="P172" i="15"/>
  <c r="O172" i="15"/>
  <c r="N170" i="15"/>
  <c r="N168" i="15" s="1"/>
  <c r="M170" i="15"/>
  <c r="L170" i="15"/>
  <c r="L168" i="15" s="1"/>
  <c r="P169" i="15"/>
  <c r="O169" i="15"/>
  <c r="N166" i="15"/>
  <c r="M166" i="15"/>
  <c r="L166" i="15"/>
  <c r="J164" i="15"/>
  <c r="I159" i="15"/>
  <c r="K159" i="15" s="1"/>
  <c r="N157" i="15"/>
  <c r="N155" i="15" s="1"/>
  <c r="M157" i="15"/>
  <c r="L157" i="15"/>
  <c r="L155" i="15" s="1"/>
  <c r="O155" i="15" s="1"/>
  <c r="P156" i="15"/>
  <c r="O156" i="15"/>
  <c r="N154" i="15"/>
  <c r="M154" i="15"/>
  <c r="M152" i="15" s="1"/>
  <c r="L154" i="15"/>
  <c r="L152" i="15" s="1"/>
  <c r="P153" i="15"/>
  <c r="O153" i="15"/>
  <c r="N150" i="15"/>
  <c r="M150" i="15"/>
  <c r="P150" i="15" s="1"/>
  <c r="L150" i="15"/>
  <c r="J148" i="15"/>
  <c r="I146" i="15"/>
  <c r="I145" i="15"/>
  <c r="I144" i="15"/>
  <c r="K144" i="15" s="1"/>
  <c r="N140" i="15"/>
  <c r="N138" i="15" s="1"/>
  <c r="M140" i="15"/>
  <c r="L140" i="15"/>
  <c r="P139" i="15"/>
  <c r="O139" i="15"/>
  <c r="N137" i="15"/>
  <c r="M137" i="15"/>
  <c r="M135" i="15" s="1"/>
  <c r="L137" i="15"/>
  <c r="P136" i="15"/>
  <c r="O136" i="15"/>
  <c r="P133" i="15"/>
  <c r="N133" i="15"/>
  <c r="M133" i="15"/>
  <c r="L133" i="15"/>
  <c r="J130" i="15"/>
  <c r="N127" i="15"/>
  <c r="N125" i="15" s="1"/>
  <c r="M127" i="15"/>
  <c r="M125" i="15" s="1"/>
  <c r="P125" i="15" s="1"/>
  <c r="L127" i="15"/>
  <c r="L125" i="15" s="1"/>
  <c r="O125" i="15" s="1"/>
  <c r="P126" i="15"/>
  <c r="O126" i="15"/>
  <c r="N124" i="15"/>
  <c r="N122" i="15" s="1"/>
  <c r="M124" i="15"/>
  <c r="L124" i="15"/>
  <c r="L122" i="15" s="1"/>
  <c r="O122" i="15" s="1"/>
  <c r="P123" i="15"/>
  <c r="O123" i="15"/>
  <c r="O120" i="15"/>
  <c r="N120" i="15"/>
  <c r="M120" i="15"/>
  <c r="P120" i="15" s="1"/>
  <c r="L120" i="15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K100" i="15" s="1"/>
  <c r="J99" i="15"/>
  <c r="I99" i="15"/>
  <c r="K99" i="15" s="1"/>
  <c r="J98" i="15"/>
  <c r="J86" i="15" s="1"/>
  <c r="I98" i="15"/>
  <c r="K98" i="15" s="1"/>
  <c r="N96" i="15"/>
  <c r="N94" i="15" s="1"/>
  <c r="M96" i="15"/>
  <c r="L96" i="15"/>
  <c r="O96" i="15" s="1"/>
  <c r="P95" i="15"/>
  <c r="O95" i="15"/>
  <c r="N93" i="15"/>
  <c r="M93" i="15"/>
  <c r="L93" i="15"/>
  <c r="L91" i="15" s="1"/>
  <c r="P92" i="15"/>
  <c r="O92" i="15"/>
  <c r="P89" i="15"/>
  <c r="N89" i="15"/>
  <c r="M89" i="15"/>
  <c r="L89" i="15"/>
  <c r="O89" i="15" s="1"/>
  <c r="J87" i="15"/>
  <c r="I84" i="15"/>
  <c r="K84" i="15" s="1"/>
  <c r="I83" i="15"/>
  <c r="K83" i="15" s="1"/>
  <c r="I82" i="15"/>
  <c r="I81" i="15"/>
  <c r="K81" i="15" s="1"/>
  <c r="I80" i="15"/>
  <c r="K80" i="15" s="1"/>
  <c r="I79" i="15"/>
  <c r="I78" i="15"/>
  <c r="K78" i="15" s="1"/>
  <c r="J77" i="15"/>
  <c r="J76" i="15"/>
  <c r="J64" i="15" s="1"/>
  <c r="N74" i="15"/>
  <c r="N72" i="15" s="1"/>
  <c r="M74" i="15"/>
  <c r="M72" i="15" s="1"/>
  <c r="P72" i="15" s="1"/>
  <c r="L74" i="15"/>
  <c r="P73" i="15"/>
  <c r="O73" i="15"/>
  <c r="N71" i="15"/>
  <c r="N69" i="15" s="1"/>
  <c r="M71" i="15"/>
  <c r="L71" i="15"/>
  <c r="P70" i="15"/>
  <c r="O70" i="15"/>
  <c r="P67" i="15"/>
  <c r="O67" i="15"/>
  <c r="N67" i="15"/>
  <c r="M67" i="15"/>
  <c r="L67" i="15"/>
  <c r="J65" i="15"/>
  <c r="N61" i="15"/>
  <c r="N59" i="15" s="1"/>
  <c r="M61" i="15"/>
  <c r="L61" i="15"/>
  <c r="L59" i="15" s="1"/>
  <c r="O59" i="15" s="1"/>
  <c r="P60" i="15"/>
  <c r="O60" i="15"/>
  <c r="N58" i="15"/>
  <c r="M58" i="15"/>
  <c r="L58" i="15"/>
  <c r="L56" i="15" s="1"/>
  <c r="P57" i="15"/>
  <c r="O57" i="15"/>
  <c r="O54" i="15"/>
  <c r="N54" i="15"/>
  <c r="M54" i="15"/>
  <c r="L54" i="15"/>
  <c r="N49" i="15"/>
  <c r="N47" i="15" s="1"/>
  <c r="M49" i="15"/>
  <c r="P49" i="15" s="1"/>
  <c r="L49" i="15"/>
  <c r="O49" i="15" s="1"/>
  <c r="P48" i="15"/>
  <c r="O48" i="15"/>
  <c r="N46" i="15"/>
  <c r="N44" i="15" s="1"/>
  <c r="M46" i="15"/>
  <c r="M44" i="15" s="1"/>
  <c r="L46" i="15"/>
  <c r="P45" i="15"/>
  <c r="O45" i="15"/>
  <c r="P42" i="15"/>
  <c r="O42" i="15"/>
  <c r="N42" i="15"/>
  <c r="M42" i="15"/>
  <c r="L42" i="15"/>
  <c r="N36" i="15"/>
  <c r="M36" i="15"/>
  <c r="P36" i="15" s="1"/>
  <c r="N35" i="15"/>
  <c r="M35" i="15"/>
  <c r="L35" i="15"/>
  <c r="P33" i="15"/>
  <c r="M33" i="15"/>
  <c r="P32" i="15"/>
  <c r="O32" i="15"/>
  <c r="N32" i="15"/>
  <c r="N29" i="15" s="1"/>
  <c r="M32" i="15"/>
  <c r="L32" i="15"/>
  <c r="M31" i="15"/>
  <c r="P31" i="15" s="1"/>
  <c r="M30" i="15"/>
  <c r="P30" i="15" s="1"/>
  <c r="P25" i="15"/>
  <c r="O25" i="15"/>
  <c r="N25" i="15"/>
  <c r="M25" i="15"/>
  <c r="L25" i="15"/>
  <c r="N22" i="15"/>
  <c r="M22" i="15"/>
  <c r="P22" i="15" s="1"/>
  <c r="L22" i="15"/>
  <c r="N19" i="15"/>
  <c r="M19" i="15"/>
  <c r="N15" i="15"/>
  <c r="M15" i="15"/>
  <c r="N12" i="15"/>
  <c r="M12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N805" i="14" s="1"/>
  <c r="P809" i="14"/>
  <c r="O809" i="14"/>
  <c r="P808" i="14"/>
  <c r="O808" i="14"/>
  <c r="N808" i="14"/>
  <c r="M808" i="14"/>
  <c r="L808" i="14"/>
  <c r="O807" i="14"/>
  <c r="M807" i="14"/>
  <c r="L807" i="14"/>
  <c r="N806" i="14"/>
  <c r="M806" i="14"/>
  <c r="P806" i="14" s="1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L789" i="14" s="1"/>
  <c r="O789" i="14" s="1"/>
  <c r="P790" i="14"/>
  <c r="O790" i="14"/>
  <c r="P789" i="14"/>
  <c r="N789" i="14"/>
  <c r="M789" i="14"/>
  <c r="M788" i="14"/>
  <c r="P787" i="14"/>
  <c r="N787" i="14"/>
  <c r="N786" i="14" s="1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P774" i="14"/>
  <c r="O774" i="14"/>
  <c r="O773" i="14"/>
  <c r="N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P758" i="14"/>
  <c r="O758" i="14"/>
  <c r="O757" i="14"/>
  <c r="N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P741" i="14"/>
  <c r="O741" i="14"/>
  <c r="O740" i="14"/>
  <c r="N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N687" i="14" s="1"/>
  <c r="L690" i="14"/>
  <c r="O690" i="14" s="1"/>
  <c r="P688" i="14"/>
  <c r="N688" i="14"/>
  <c r="M688" i="14"/>
  <c r="M687" i="14"/>
  <c r="P686" i="14"/>
  <c r="N686" i="14"/>
  <c r="M686" i="14"/>
  <c r="L686" i="14"/>
  <c r="J679" i="14"/>
  <c r="J678" i="14" s="1"/>
  <c r="I678" i="14"/>
  <c r="K678" i="14" s="1"/>
  <c r="J675" i="14"/>
  <c r="I671" i="14"/>
  <c r="K671" i="14" s="1"/>
  <c r="I670" i="14"/>
  <c r="K670" i="14" s="1"/>
  <c r="J669" i="14"/>
  <c r="I669" i="14"/>
  <c r="K673" i="14" s="1"/>
  <c r="P667" i="14"/>
  <c r="O667" i="14"/>
  <c r="P666" i="14"/>
  <c r="O666" i="14"/>
  <c r="P665" i="14"/>
  <c r="N665" i="14"/>
  <c r="M665" i="14"/>
  <c r="L665" i="14"/>
  <c r="O665" i="14" s="1"/>
  <c r="P660" i="14"/>
  <c r="N660" i="14"/>
  <c r="N657" i="14" s="1"/>
  <c r="L660" i="14"/>
  <c r="O660" i="14" s="1"/>
  <c r="P659" i="14"/>
  <c r="O659" i="14"/>
  <c r="N658" i="14"/>
  <c r="M658" i="14"/>
  <c r="P658" i="14" s="1"/>
  <c r="P657" i="14"/>
  <c r="M657" i="14"/>
  <c r="M655" i="14" s="1"/>
  <c r="P655" i="14" s="1"/>
  <c r="O656" i="14"/>
  <c r="N656" i="14"/>
  <c r="M656" i="14"/>
  <c r="P656" i="14" s="1"/>
  <c r="L656" i="14"/>
  <c r="N655" i="14"/>
  <c r="J654" i="14"/>
  <c r="K652" i="14"/>
  <c r="J652" i="14"/>
  <c r="J651" i="14"/>
  <c r="J628" i="14" s="1"/>
  <c r="I651" i="14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L639" i="14" s="1"/>
  <c r="O639" i="14" s="1"/>
  <c r="P640" i="14"/>
  <c r="O640" i="14"/>
  <c r="P639" i="14"/>
  <c r="N639" i="14"/>
  <c r="M639" i="14"/>
  <c r="N638" i="14"/>
  <c r="N637" i="14"/>
  <c r="N634" i="14" s="1"/>
  <c r="N632" i="14" s="1"/>
  <c r="P634" i="14"/>
  <c r="L634" i="14"/>
  <c r="O634" i="14" s="1"/>
  <c r="P633" i="14"/>
  <c r="O633" i="14"/>
  <c r="M632" i="14"/>
  <c r="P632" i="14" s="1"/>
  <c r="P631" i="14"/>
  <c r="M631" i="14"/>
  <c r="O630" i="14"/>
  <c r="N630" i="14"/>
  <c r="M630" i="14"/>
  <c r="L630" i="14"/>
  <c r="J621" i="14"/>
  <c r="I621" i="14"/>
  <c r="K621" i="14" s="1"/>
  <c r="J620" i="14"/>
  <c r="I620" i="14"/>
  <c r="K620" i="14" s="1"/>
  <c r="K613" i="14"/>
  <c r="J613" i="14"/>
  <c r="K612" i="14"/>
  <c r="J612" i="14"/>
  <c r="K611" i="14"/>
  <c r="J611" i="14"/>
  <c r="J604" i="14"/>
  <c r="J603" i="14"/>
  <c r="J596" i="14"/>
  <c r="J594" i="14" s="1"/>
  <c r="J595" i="14"/>
  <c r="I594" i="14"/>
  <c r="J593" i="14"/>
  <c r="J592" i="14" s="1"/>
  <c r="I593" i="14"/>
  <c r="I592" i="14" s="1"/>
  <c r="J583" i="14"/>
  <c r="J582" i="14"/>
  <c r="J576" i="14" s="1"/>
  <c r="J559" i="14" s="1"/>
  <c r="J543" i="14" s="1"/>
  <c r="J577" i="14"/>
  <c r="I577" i="14"/>
  <c r="K577" i="14" s="1"/>
  <c r="I576" i="14"/>
  <c r="J569" i="14"/>
  <c r="I569" i="14"/>
  <c r="K569" i="14" s="1"/>
  <c r="J568" i="14"/>
  <c r="I568" i="14"/>
  <c r="K568" i="14" s="1"/>
  <c r="J561" i="14"/>
  <c r="I561" i="14"/>
  <c r="K561" i="14" s="1"/>
  <c r="J560" i="14"/>
  <c r="I560" i="14"/>
  <c r="K560" i="14" s="1"/>
  <c r="P557" i="14"/>
  <c r="L557" i="14"/>
  <c r="P556" i="14"/>
  <c r="O556" i="14"/>
  <c r="N555" i="14"/>
  <c r="M555" i="14"/>
  <c r="N553" i="14"/>
  <c r="N552" i="14"/>
  <c r="P549" i="14"/>
  <c r="N549" i="14"/>
  <c r="N546" i="14" s="1"/>
  <c r="L549" i="14"/>
  <c r="L547" i="14" s="1"/>
  <c r="P548" i="14"/>
  <c r="O548" i="14"/>
  <c r="P547" i="14"/>
  <c r="N547" i="14"/>
  <c r="M547" i="14"/>
  <c r="M546" i="14"/>
  <c r="P546" i="14" s="1"/>
  <c r="N545" i="14"/>
  <c r="L545" i="14"/>
  <c r="I542" i="14"/>
  <c r="K542" i="14" s="1"/>
  <c r="I541" i="14"/>
  <c r="K541" i="14" s="1"/>
  <c r="I540" i="14"/>
  <c r="K540" i="14" s="1"/>
  <c r="I539" i="14"/>
  <c r="K539" i="14" s="1"/>
  <c r="I538" i="14"/>
  <c r="I537" i="14"/>
  <c r="K537" i="14" s="1"/>
  <c r="P535" i="14"/>
  <c r="L535" i="14"/>
  <c r="P534" i="14"/>
  <c r="O534" i="14"/>
  <c r="N533" i="14"/>
  <c r="M533" i="14"/>
  <c r="P533" i="14" s="1"/>
  <c r="P528" i="14"/>
  <c r="N528" i="14"/>
  <c r="N525" i="14" s="1"/>
  <c r="N523" i="14" s="1"/>
  <c r="L528" i="14"/>
  <c r="O528" i="14" s="1"/>
  <c r="P527" i="14"/>
  <c r="O527" i="14"/>
  <c r="P526" i="14"/>
  <c r="N526" i="14"/>
  <c r="M526" i="14"/>
  <c r="L526" i="14"/>
  <c r="O526" i="14" s="1"/>
  <c r="M525" i="14"/>
  <c r="P525" i="14" s="1"/>
  <c r="P524" i="14"/>
  <c r="N524" i="14"/>
  <c r="M524" i="14"/>
  <c r="M523" i="14" s="1"/>
  <c r="P523" i="14" s="1"/>
  <c r="L524" i="14"/>
  <c r="O524" i="14" s="1"/>
  <c r="K517" i="14"/>
  <c r="J517" i="14"/>
  <c r="K516" i="14"/>
  <c r="P514" i="14"/>
  <c r="O514" i="14"/>
  <c r="P513" i="14"/>
  <c r="O513" i="14"/>
  <c r="P512" i="14"/>
  <c r="N512" i="14"/>
  <c r="M512" i="14"/>
  <c r="L512" i="14"/>
  <c r="O512" i="14" s="1"/>
  <c r="P507" i="14"/>
  <c r="O507" i="14"/>
  <c r="N507" i="14"/>
  <c r="N504" i="14" s="1"/>
  <c r="P506" i="14"/>
  <c r="O506" i="14"/>
  <c r="P505" i="14"/>
  <c r="M505" i="14"/>
  <c r="L505" i="14"/>
  <c r="O505" i="14" s="1"/>
  <c r="O504" i="14"/>
  <c r="M504" i="14"/>
  <c r="P504" i="14" s="1"/>
  <c r="L504" i="14"/>
  <c r="L502" i="14" s="1"/>
  <c r="O502" i="14" s="1"/>
  <c r="P503" i="14"/>
  <c r="N503" i="14"/>
  <c r="M503" i="14"/>
  <c r="L503" i="14"/>
  <c r="O503" i="14" s="1"/>
  <c r="M502" i="14"/>
  <c r="P502" i="14" s="1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P478" i="14"/>
  <c r="O478" i="14"/>
  <c r="N477" i="14"/>
  <c r="M477" i="14"/>
  <c r="P477" i="14" s="1"/>
  <c r="P472" i="14"/>
  <c r="N472" i="14"/>
  <c r="L472" i="14"/>
  <c r="O472" i="14" s="1"/>
  <c r="P471" i="14"/>
  <c r="O471" i="14"/>
  <c r="P470" i="14"/>
  <c r="N470" i="14"/>
  <c r="M470" i="14"/>
  <c r="N469" i="14"/>
  <c r="M469" i="14"/>
  <c r="P469" i="14" s="1"/>
  <c r="P468" i="14"/>
  <c r="N468" i="14"/>
  <c r="N467" i="14" s="1"/>
  <c r="M468" i="14"/>
  <c r="L468" i="14"/>
  <c r="O468" i="14" s="1"/>
  <c r="M467" i="14"/>
  <c r="P467" i="14" s="1"/>
  <c r="J466" i="14"/>
  <c r="I466" i="14"/>
  <c r="K466" i="14" s="1"/>
  <c r="J465" i="14"/>
  <c r="I465" i="14"/>
  <c r="K465" i="14" s="1"/>
  <c r="I464" i="14"/>
  <c r="I463" i="14"/>
  <c r="I462" i="14"/>
  <c r="I460" i="14"/>
  <c r="I442" i="14" s="1"/>
  <c r="K442" i="14" s="1"/>
  <c r="K458" i="14"/>
  <c r="P456" i="14"/>
  <c r="L456" i="14"/>
  <c r="O456" i="14" s="1"/>
  <c r="P455" i="14"/>
  <c r="O455" i="14"/>
  <c r="P454" i="14"/>
  <c r="N454" i="14"/>
  <c r="M454" i="14"/>
  <c r="P449" i="14"/>
  <c r="N449" i="14"/>
  <c r="N446" i="14" s="1"/>
  <c r="L449" i="14"/>
  <c r="P448" i="14"/>
  <c r="O448" i="14"/>
  <c r="N447" i="14"/>
  <c r="M447" i="14"/>
  <c r="P447" i="14" s="1"/>
  <c r="P446" i="14"/>
  <c r="M446" i="14"/>
  <c r="M444" i="14" s="1"/>
  <c r="O445" i="14"/>
  <c r="N445" i="14"/>
  <c r="M445" i="14"/>
  <c r="P445" i="14" s="1"/>
  <c r="L445" i="14"/>
  <c r="P444" i="14"/>
  <c r="N444" i="14"/>
  <c r="J443" i="14"/>
  <c r="J442" i="14"/>
  <c r="I441" i="14"/>
  <c r="K441" i="14" s="1"/>
  <c r="I440" i="14"/>
  <c r="K440" i="14" s="1"/>
  <c r="I439" i="14"/>
  <c r="K439" i="14" s="1"/>
  <c r="I438" i="14"/>
  <c r="I437" i="14"/>
  <c r="I435" i="14"/>
  <c r="J434" i="14"/>
  <c r="P431" i="14"/>
  <c r="L431" i="14"/>
  <c r="O431" i="14" s="1"/>
  <c r="P430" i="14"/>
  <c r="O430" i="14"/>
  <c r="N429" i="14"/>
  <c r="M429" i="14"/>
  <c r="P429" i="14" s="1"/>
  <c r="P424" i="14"/>
  <c r="N424" i="14"/>
  <c r="N421" i="14" s="1"/>
  <c r="N419" i="14" s="1"/>
  <c r="L424" i="14"/>
  <c r="P423" i="14"/>
  <c r="O423" i="14"/>
  <c r="N422" i="14"/>
  <c r="M422" i="14"/>
  <c r="P422" i="14" s="1"/>
  <c r="M421" i="14"/>
  <c r="O420" i="14"/>
  <c r="N420" i="14"/>
  <c r="M420" i="14"/>
  <c r="P420" i="14" s="1"/>
  <c r="L420" i="14"/>
  <c r="J418" i="14"/>
  <c r="K413" i="14"/>
  <c r="K412" i="14"/>
  <c r="N410" i="14"/>
  <c r="N408" i="14" s="1"/>
  <c r="M410" i="14"/>
  <c r="M408" i="14" s="1"/>
  <c r="P408" i="14" s="1"/>
  <c r="L410" i="14"/>
  <c r="O410" i="14" s="1"/>
  <c r="P409" i="14"/>
  <c r="O409" i="14"/>
  <c r="N407" i="14"/>
  <c r="M407" i="14"/>
  <c r="M405" i="14" s="1"/>
  <c r="P405" i="14" s="1"/>
  <c r="L407" i="14"/>
  <c r="P406" i="14"/>
  <c r="O406" i="14"/>
  <c r="P403" i="14"/>
  <c r="O403" i="14"/>
  <c r="N403" i="14"/>
  <c r="M403" i="14"/>
  <c r="L403" i="14"/>
  <c r="J401" i="14"/>
  <c r="I401" i="14"/>
  <c r="K401" i="14" s="1"/>
  <c r="K400" i="14"/>
  <c r="K399" i="14"/>
  <c r="N397" i="14"/>
  <c r="M397" i="14"/>
  <c r="P397" i="14" s="1"/>
  <c r="L397" i="14"/>
  <c r="P396" i="14"/>
  <c r="O396" i="14"/>
  <c r="N394" i="14"/>
  <c r="N392" i="14" s="1"/>
  <c r="M394" i="14"/>
  <c r="P394" i="14" s="1"/>
  <c r="L394" i="14"/>
  <c r="P393" i="14"/>
  <c r="O393" i="14"/>
  <c r="N390" i="14"/>
  <c r="M390" i="14"/>
  <c r="P390" i="14" s="1"/>
  <c r="L390" i="14"/>
  <c r="O390" i="14" s="1"/>
  <c r="K388" i="14"/>
  <c r="J388" i="14"/>
  <c r="I388" i="14"/>
  <c r="J385" i="14"/>
  <c r="I385" i="14"/>
  <c r="K382" i="14"/>
  <c r="J382" i="14"/>
  <c r="J381" i="14"/>
  <c r="J374" i="14" s="1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P352" i="14"/>
  <c r="O352" i="14"/>
  <c r="N350" i="14"/>
  <c r="N348" i="14" s="1"/>
  <c r="M350" i="14"/>
  <c r="L350" i="14"/>
  <c r="L348" i="14" s="1"/>
  <c r="P349" i="14"/>
  <c r="O349" i="14"/>
  <c r="O346" i="14"/>
  <c r="N346" i="14"/>
  <c r="M346" i="14"/>
  <c r="P346" i="14" s="1"/>
  <c r="L346" i="14"/>
  <c r="J343" i="14"/>
  <c r="J342" i="14"/>
  <c r="J341" i="14"/>
  <c r="J340" i="14"/>
  <c r="I340" i="14"/>
  <c r="J338" i="14"/>
  <c r="I338" i="14"/>
  <c r="N336" i="14"/>
  <c r="N334" i="14" s="1"/>
  <c r="M336" i="14"/>
  <c r="P336" i="14" s="1"/>
  <c r="L336" i="14"/>
  <c r="L334" i="14" s="1"/>
  <c r="O334" i="14" s="1"/>
  <c r="P335" i="14"/>
  <c r="O335" i="14"/>
  <c r="N333" i="14"/>
  <c r="N331" i="14" s="1"/>
  <c r="M333" i="14"/>
  <c r="M331" i="14" s="1"/>
  <c r="L333" i="14"/>
  <c r="P332" i="14"/>
  <c r="O332" i="14"/>
  <c r="N329" i="14"/>
  <c r="M329" i="14"/>
  <c r="P329" i="14" s="1"/>
  <c r="L329" i="14"/>
  <c r="O329" i="14" s="1"/>
  <c r="I327" i="14"/>
  <c r="I325" i="14"/>
  <c r="K325" i="14" s="1"/>
  <c r="N323" i="14"/>
  <c r="M323" i="14"/>
  <c r="P323" i="14" s="1"/>
  <c r="L323" i="14"/>
  <c r="O323" i="14" s="1"/>
  <c r="P322" i="14"/>
  <c r="O322" i="14"/>
  <c r="N320" i="14"/>
  <c r="N318" i="14" s="1"/>
  <c r="M320" i="14"/>
  <c r="P320" i="14" s="1"/>
  <c r="L320" i="14"/>
  <c r="P319" i="14"/>
  <c r="O319" i="14"/>
  <c r="P316" i="14"/>
  <c r="N316" i="14"/>
  <c r="M316" i="14"/>
  <c r="L316" i="14"/>
  <c r="J314" i="14"/>
  <c r="I312" i="14"/>
  <c r="K312" i="14" s="1"/>
  <c r="I311" i="14"/>
  <c r="K311" i="14" s="1"/>
  <c r="I310" i="14"/>
  <c r="K310" i="14" s="1"/>
  <c r="I309" i="14"/>
  <c r="I297" i="14" s="1"/>
  <c r="K297" i="14" s="1"/>
  <c r="N306" i="14"/>
  <c r="N304" i="14" s="1"/>
  <c r="M306" i="14"/>
  <c r="P306" i="14" s="1"/>
  <c r="L306" i="14"/>
  <c r="L304" i="14" s="1"/>
  <c r="O304" i="14" s="1"/>
  <c r="P305" i="14"/>
  <c r="O305" i="14"/>
  <c r="N303" i="14"/>
  <c r="N301" i="14" s="1"/>
  <c r="M303" i="14"/>
  <c r="M301" i="14" s="1"/>
  <c r="L303" i="14"/>
  <c r="L301" i="14" s="1"/>
  <c r="P302" i="14"/>
  <c r="O302" i="14"/>
  <c r="P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P285" i="14" s="1"/>
  <c r="L285" i="14"/>
  <c r="L283" i="14" s="1"/>
  <c r="O283" i="14" s="1"/>
  <c r="P284" i="14"/>
  <c r="O284" i="14"/>
  <c r="N282" i="14"/>
  <c r="M282" i="14"/>
  <c r="L282" i="14"/>
  <c r="L280" i="14" s="1"/>
  <c r="P281" i="14"/>
  <c r="O281" i="14"/>
  <c r="N278" i="14"/>
  <c r="M278" i="14"/>
  <c r="L278" i="14"/>
  <c r="J276" i="14"/>
  <c r="I271" i="14"/>
  <c r="I260" i="14" s="1"/>
  <c r="K260" i="14" s="1"/>
  <c r="N269" i="14"/>
  <c r="N267" i="14" s="1"/>
  <c r="M269" i="14"/>
  <c r="P269" i="14" s="1"/>
  <c r="L269" i="14"/>
  <c r="L267" i="14" s="1"/>
  <c r="O267" i="14" s="1"/>
  <c r="P268" i="14"/>
  <c r="O268" i="14"/>
  <c r="N266" i="14"/>
  <c r="N264" i="14" s="1"/>
  <c r="M266" i="14"/>
  <c r="M264" i="14" s="1"/>
  <c r="L266" i="14"/>
  <c r="P265" i="14"/>
  <c r="O265" i="14"/>
  <c r="N262" i="14"/>
  <c r="M262" i="14"/>
  <c r="L262" i="14"/>
  <c r="J260" i="14"/>
  <c r="K258" i="14"/>
  <c r="K257" i="14"/>
  <c r="I255" i="14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I237" i="14" s="1"/>
  <c r="K237" i="14" s="1"/>
  <c r="L242" i="14"/>
  <c r="L241" i="14"/>
  <c r="L240" i="14"/>
  <c r="L239" i="14"/>
  <c r="P238" i="14"/>
  <c r="N238" i="14"/>
  <c r="J237" i="14"/>
  <c r="J236" i="14"/>
  <c r="I236" i="14"/>
  <c r="K236" i="14" s="1"/>
  <c r="K235" i="14"/>
  <c r="J235" i="14"/>
  <c r="I235" i="14"/>
  <c r="J233" i="14"/>
  <c r="N231" i="14"/>
  <c r="N230" i="14"/>
  <c r="N229" i="14"/>
  <c r="N228" i="14"/>
  <c r="I225" i="14"/>
  <c r="K225" i="14" s="1"/>
  <c r="I224" i="14"/>
  <c r="K224" i="14" s="1"/>
  <c r="I223" i="14"/>
  <c r="K223" i="14" s="1"/>
  <c r="L220" i="14"/>
  <c r="L219" i="14"/>
  <c r="L218" i="14"/>
  <c r="P217" i="14"/>
  <c r="N217" i="14"/>
  <c r="J216" i="14"/>
  <c r="I215" i="14"/>
  <c r="K215" i="14" s="1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4" i="14"/>
  <c r="I193" i="14"/>
  <c r="K193" i="14" s="1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M186" i="14"/>
  <c r="M184" i="14" s="1"/>
  <c r="L186" i="14"/>
  <c r="P185" i="14"/>
  <c r="O185" i="14"/>
  <c r="P182" i="14"/>
  <c r="O182" i="14"/>
  <c r="N182" i="14"/>
  <c r="M182" i="14"/>
  <c r="L182" i="14"/>
  <c r="J177" i="14"/>
  <c r="J164" i="14" s="1"/>
  <c r="I176" i="14"/>
  <c r="I174" i="14" s="1"/>
  <c r="I164" i="14" s="1"/>
  <c r="J174" i="14"/>
  <c r="N173" i="14"/>
  <c r="M173" i="14"/>
  <c r="L173" i="14"/>
  <c r="L171" i="14" s="1"/>
  <c r="O171" i="14" s="1"/>
  <c r="P172" i="14"/>
  <c r="O172" i="14"/>
  <c r="N170" i="14"/>
  <c r="N168" i="14" s="1"/>
  <c r="M170" i="14"/>
  <c r="L170" i="14"/>
  <c r="P169" i="14"/>
  <c r="O169" i="14"/>
  <c r="P166" i="14"/>
  <c r="N166" i="14"/>
  <c r="M166" i="14"/>
  <c r="L166" i="14"/>
  <c r="I159" i="14"/>
  <c r="K159" i="14" s="1"/>
  <c r="N157" i="14"/>
  <c r="N155" i="14" s="1"/>
  <c r="M157" i="14"/>
  <c r="L157" i="14"/>
  <c r="L155" i="14" s="1"/>
  <c r="O155" i="14" s="1"/>
  <c r="P156" i="14"/>
  <c r="O156" i="14"/>
  <c r="N154" i="14"/>
  <c r="N152" i="14" s="1"/>
  <c r="M154" i="14"/>
  <c r="L154" i="14"/>
  <c r="P153" i="14"/>
  <c r="O153" i="14"/>
  <c r="P150" i="14"/>
  <c r="N150" i="14"/>
  <c r="M150" i="14"/>
  <c r="L150" i="14"/>
  <c r="O150" i="14" s="1"/>
  <c r="J148" i="14"/>
  <c r="I146" i="14"/>
  <c r="K146" i="14" s="1"/>
  <c r="I145" i="14"/>
  <c r="K145" i="14" s="1"/>
  <c r="I144" i="14"/>
  <c r="K144" i="14" s="1"/>
  <c r="N140" i="14"/>
  <c r="N138" i="14" s="1"/>
  <c r="M140" i="14"/>
  <c r="P140" i="14" s="1"/>
  <c r="L140" i="14"/>
  <c r="O140" i="14" s="1"/>
  <c r="P139" i="14"/>
  <c r="O139" i="14"/>
  <c r="N137" i="14"/>
  <c r="N135" i="14" s="1"/>
  <c r="M137" i="14"/>
  <c r="P137" i="14" s="1"/>
  <c r="L137" i="14"/>
  <c r="P136" i="14"/>
  <c r="O136" i="14"/>
  <c r="O133" i="14"/>
  <c r="N133" i="14"/>
  <c r="M133" i="14"/>
  <c r="P133" i="14" s="1"/>
  <c r="L133" i="14"/>
  <c r="J130" i="14"/>
  <c r="N127" i="14"/>
  <c r="N125" i="14" s="1"/>
  <c r="M127" i="14"/>
  <c r="P127" i="14" s="1"/>
  <c r="L127" i="14"/>
  <c r="O127" i="14" s="1"/>
  <c r="P126" i="14"/>
  <c r="O126" i="14"/>
  <c r="N124" i="14"/>
  <c r="N122" i="14" s="1"/>
  <c r="M124" i="14"/>
  <c r="P124" i="14" s="1"/>
  <c r="L124" i="14"/>
  <c r="O124" i="14" s="1"/>
  <c r="P123" i="14"/>
  <c r="O123" i="14"/>
  <c r="P120" i="14"/>
  <c r="N120" i="14"/>
  <c r="M120" i="14"/>
  <c r="L120" i="14"/>
  <c r="I116" i="14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I99" i="14"/>
  <c r="I87" i="14" s="1"/>
  <c r="J98" i="14"/>
  <c r="I98" i="14"/>
  <c r="I86" i="14" s="1"/>
  <c r="N96" i="14"/>
  <c r="N94" i="14" s="1"/>
  <c r="M96" i="14"/>
  <c r="P96" i="14" s="1"/>
  <c r="L96" i="14"/>
  <c r="O96" i="14" s="1"/>
  <c r="P95" i="14"/>
  <c r="O95" i="14"/>
  <c r="N93" i="14"/>
  <c r="N91" i="14" s="1"/>
  <c r="M93" i="14"/>
  <c r="L93" i="14"/>
  <c r="P92" i="14"/>
  <c r="O92" i="14"/>
  <c r="P89" i="14"/>
  <c r="N89" i="14"/>
  <c r="M89" i="14"/>
  <c r="L89" i="14"/>
  <c r="J86" i="14"/>
  <c r="I84" i="14"/>
  <c r="K84" i="14" s="1"/>
  <c r="I83" i="14"/>
  <c r="K83" i="14" s="1"/>
  <c r="I82" i="14"/>
  <c r="K82" i="14" s="1"/>
  <c r="I81" i="14"/>
  <c r="I80" i="14"/>
  <c r="K80" i="14" s="1"/>
  <c r="I79" i="14"/>
  <c r="K79" i="14" s="1"/>
  <c r="I78" i="14"/>
  <c r="J77" i="14"/>
  <c r="J76" i="14"/>
  <c r="N74" i="14"/>
  <c r="N72" i="14" s="1"/>
  <c r="M74" i="14"/>
  <c r="P74" i="14" s="1"/>
  <c r="L74" i="14"/>
  <c r="P73" i="14"/>
  <c r="O73" i="14"/>
  <c r="N71" i="14"/>
  <c r="M71" i="14"/>
  <c r="M69" i="14" s="1"/>
  <c r="L71" i="14"/>
  <c r="L69" i="14" s="1"/>
  <c r="P70" i="14"/>
  <c r="O70" i="14"/>
  <c r="O67" i="14"/>
  <c r="N67" i="14"/>
  <c r="M67" i="14"/>
  <c r="L67" i="14"/>
  <c r="J65" i="14"/>
  <c r="J64" i="14"/>
  <c r="N61" i="14"/>
  <c r="N59" i="14" s="1"/>
  <c r="M61" i="14"/>
  <c r="M59" i="14" s="1"/>
  <c r="L61" i="14"/>
  <c r="L59" i="14" s="1"/>
  <c r="P60" i="14"/>
  <c r="O60" i="14"/>
  <c r="N58" i="14"/>
  <c r="N56" i="14" s="1"/>
  <c r="M58" i="14"/>
  <c r="L58" i="14"/>
  <c r="L56" i="14" s="1"/>
  <c r="P57" i="14"/>
  <c r="O57" i="14"/>
  <c r="N54" i="14"/>
  <c r="M54" i="14"/>
  <c r="L54" i="14"/>
  <c r="O54" i="14" s="1"/>
  <c r="N49" i="14"/>
  <c r="N47" i="14" s="1"/>
  <c r="M49" i="14"/>
  <c r="M47" i="14" s="1"/>
  <c r="P47" i="14" s="1"/>
  <c r="L49" i="14"/>
  <c r="L47" i="14" s="1"/>
  <c r="O47" i="14" s="1"/>
  <c r="P48" i="14"/>
  <c r="O48" i="14"/>
  <c r="N46" i="14"/>
  <c r="M46" i="14"/>
  <c r="L46" i="14"/>
  <c r="L44" i="14" s="1"/>
  <c r="P45" i="14"/>
  <c r="O45" i="14"/>
  <c r="O42" i="14"/>
  <c r="N42" i="14"/>
  <c r="M42" i="14"/>
  <c r="L42" i="14"/>
  <c r="P36" i="14"/>
  <c r="N36" i="14"/>
  <c r="M36" i="14"/>
  <c r="O35" i="14"/>
  <c r="N35" i="14"/>
  <c r="M35" i="14"/>
  <c r="P35" i="14" s="1"/>
  <c r="L35" i="14"/>
  <c r="P34" i="14"/>
  <c r="N34" i="14"/>
  <c r="M34" i="14"/>
  <c r="N33" i="14"/>
  <c r="M33" i="14"/>
  <c r="P32" i="14"/>
  <c r="N32" i="14"/>
  <c r="N31" i="14" s="1"/>
  <c r="M32" i="14"/>
  <c r="L32" i="14"/>
  <c r="L12" i="14" s="1"/>
  <c r="M31" i="14"/>
  <c r="P31" i="14" s="1"/>
  <c r="N30" i="14"/>
  <c r="N29" i="14"/>
  <c r="N28" i="14" s="1"/>
  <c r="M29" i="14"/>
  <c r="P29" i="14" s="1"/>
  <c r="P25" i="14"/>
  <c r="N25" i="14"/>
  <c r="M25" i="14"/>
  <c r="L25" i="14"/>
  <c r="O22" i="14"/>
  <c r="N22" i="14"/>
  <c r="N19" i="14" s="1"/>
  <c r="M22" i="14"/>
  <c r="L22" i="14"/>
  <c r="N15" i="14"/>
  <c r="M15" i="14"/>
  <c r="N12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M808" i="13"/>
  <c r="P808" i="13" s="1"/>
  <c r="L808" i="13"/>
  <c r="O808" i="13" s="1"/>
  <c r="M807" i="13"/>
  <c r="L807" i="13"/>
  <c r="O807" i="13" s="1"/>
  <c r="P806" i="13"/>
  <c r="N806" i="13"/>
  <c r="M806" i="13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P791" i="13"/>
  <c r="N791" i="13"/>
  <c r="L791" i="13"/>
  <c r="P790" i="13"/>
  <c r="O790" i="13"/>
  <c r="P789" i="13"/>
  <c r="N789" i="13"/>
  <c r="M789" i="13"/>
  <c r="P788" i="13"/>
  <c r="N788" i="13"/>
  <c r="M788" i="13"/>
  <c r="O787" i="13"/>
  <c r="N787" i="13"/>
  <c r="N786" i="13" s="1"/>
  <c r="M787" i="13"/>
  <c r="P787" i="13" s="1"/>
  <c r="L787" i="13"/>
  <c r="M786" i="13"/>
  <c r="P786" i="13" s="1"/>
  <c r="P782" i="13"/>
  <c r="O782" i="13"/>
  <c r="P781" i="13"/>
  <c r="O781" i="13"/>
  <c r="N780" i="13"/>
  <c r="M780" i="13"/>
  <c r="P780" i="13" s="1"/>
  <c r="L780" i="13"/>
  <c r="O780" i="13" s="1"/>
  <c r="P775" i="13"/>
  <c r="O775" i="13"/>
  <c r="N775" i="13"/>
  <c r="P774" i="13"/>
  <c r="O774" i="13"/>
  <c r="P773" i="13"/>
  <c r="N773" i="13"/>
  <c r="M773" i="13"/>
  <c r="L773" i="13"/>
  <c r="O773" i="13" s="1"/>
  <c r="P772" i="13"/>
  <c r="O772" i="13"/>
  <c r="N772" i="13"/>
  <c r="M772" i="13"/>
  <c r="L772" i="13"/>
  <c r="P771" i="13"/>
  <c r="O771" i="13"/>
  <c r="N771" i="13"/>
  <c r="M771" i="13"/>
  <c r="L771" i="13"/>
  <c r="L770" i="13" s="1"/>
  <c r="O770" i="13" s="1"/>
  <c r="N770" i="13"/>
  <c r="M770" i="13"/>
  <c r="P770" i="13" s="1"/>
  <c r="K769" i="13"/>
  <c r="J769" i="13"/>
  <c r="P766" i="13"/>
  <c r="O766" i="13"/>
  <c r="P765" i="13"/>
  <c r="O765" i="13"/>
  <c r="N764" i="13"/>
  <c r="M764" i="13"/>
  <c r="P764" i="13" s="1"/>
  <c r="L764" i="13"/>
  <c r="O764" i="13" s="1"/>
  <c r="P759" i="13"/>
  <c r="O759" i="13"/>
  <c r="N759" i="13"/>
  <c r="P758" i="13"/>
  <c r="O758" i="13"/>
  <c r="P757" i="13"/>
  <c r="N757" i="13"/>
  <c r="M757" i="13"/>
  <c r="L757" i="13"/>
  <c r="O757" i="13" s="1"/>
  <c r="P756" i="13"/>
  <c r="O756" i="13"/>
  <c r="N756" i="13"/>
  <c r="M756" i="13"/>
  <c r="M754" i="13" s="1"/>
  <c r="P754" i="13" s="1"/>
  <c r="L756" i="13"/>
  <c r="P755" i="13"/>
  <c r="O755" i="13"/>
  <c r="N755" i="13"/>
  <c r="M755" i="13"/>
  <c r="L755" i="13"/>
  <c r="L754" i="13" s="1"/>
  <c r="O754" i="13" s="1"/>
  <c r="N754" i="13"/>
  <c r="K753" i="13"/>
  <c r="J753" i="13"/>
  <c r="P749" i="13"/>
  <c r="O749" i="13"/>
  <c r="P748" i="13"/>
  <c r="O748" i="13"/>
  <c r="N747" i="13"/>
  <c r="M747" i="13"/>
  <c r="P747" i="13" s="1"/>
  <c r="L747" i="13"/>
  <c r="O747" i="13" s="1"/>
  <c r="P742" i="13"/>
  <c r="O742" i="13"/>
  <c r="N742" i="13"/>
  <c r="P741" i="13"/>
  <c r="O741" i="13"/>
  <c r="P740" i="13"/>
  <c r="N740" i="13"/>
  <c r="M740" i="13"/>
  <c r="L740" i="13"/>
  <c r="O740" i="13" s="1"/>
  <c r="P739" i="13"/>
  <c r="O739" i="13"/>
  <c r="N739" i="13"/>
  <c r="M739" i="13"/>
  <c r="M737" i="13" s="1"/>
  <c r="P737" i="13" s="1"/>
  <c r="L739" i="13"/>
  <c r="P738" i="13"/>
  <c r="O738" i="13"/>
  <c r="N738" i="13"/>
  <c r="M738" i="13"/>
  <c r="L738" i="13"/>
  <c r="L737" i="13" s="1"/>
  <c r="O737" i="13" s="1"/>
  <c r="N737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N695" i="13"/>
  <c r="M695" i="13"/>
  <c r="P695" i="13" s="1"/>
  <c r="L695" i="13"/>
  <c r="O695" i="13" s="1"/>
  <c r="P690" i="13"/>
  <c r="N690" i="13"/>
  <c r="L690" i="13"/>
  <c r="P688" i="13"/>
  <c r="N688" i="13"/>
  <c r="M688" i="13"/>
  <c r="P687" i="13"/>
  <c r="N687" i="13"/>
  <c r="M687" i="13"/>
  <c r="O686" i="13"/>
  <c r="N686" i="13"/>
  <c r="N685" i="13" s="1"/>
  <c r="M686" i="13"/>
  <c r="P686" i="13" s="1"/>
  <c r="L686" i="13"/>
  <c r="M685" i="13"/>
  <c r="P685" i="13" s="1"/>
  <c r="J679" i="13"/>
  <c r="J678" i="13" s="1"/>
  <c r="I678" i="13"/>
  <c r="K678" i="13" s="1"/>
  <c r="J675" i="13"/>
  <c r="J669" i="13" s="1"/>
  <c r="I671" i="13"/>
  <c r="K671" i="13" s="1"/>
  <c r="I670" i="13"/>
  <c r="K670" i="13" s="1"/>
  <c r="I669" i="13"/>
  <c r="K675" i="13" s="1"/>
  <c r="P667" i="13"/>
  <c r="O667" i="13"/>
  <c r="P666" i="13"/>
  <c r="O666" i="13"/>
  <c r="O665" i="13"/>
  <c r="N665" i="13"/>
  <c r="M665" i="13"/>
  <c r="P665" i="13" s="1"/>
  <c r="L665" i="13"/>
  <c r="P660" i="13"/>
  <c r="N660" i="13"/>
  <c r="N657" i="13" s="1"/>
  <c r="N655" i="13" s="1"/>
  <c r="L660" i="13"/>
  <c r="L657" i="13" s="1"/>
  <c r="P659" i="13"/>
  <c r="O659" i="13"/>
  <c r="M658" i="13"/>
  <c r="P658" i="13" s="1"/>
  <c r="M657" i="13"/>
  <c r="P656" i="13"/>
  <c r="N656" i="13"/>
  <c r="M656" i="13"/>
  <c r="L656" i="13"/>
  <c r="J654" i="13"/>
  <c r="K652" i="13"/>
  <c r="J652" i="13"/>
  <c r="J651" i="13"/>
  <c r="J628" i="13" s="1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P639" i="13"/>
  <c r="N639" i="13"/>
  <c r="M639" i="13"/>
  <c r="P634" i="13"/>
  <c r="N634" i="13"/>
  <c r="L634" i="13"/>
  <c r="L632" i="13" s="1"/>
  <c r="O632" i="13" s="1"/>
  <c r="P633" i="13"/>
  <c r="O633" i="13"/>
  <c r="P632" i="13"/>
  <c r="N632" i="13"/>
  <c r="M632" i="13"/>
  <c r="N631" i="13"/>
  <c r="M631" i="13"/>
  <c r="P631" i="13" s="1"/>
  <c r="N630" i="13"/>
  <c r="M630" i="13"/>
  <c r="P630" i="13" s="1"/>
  <c r="L630" i="13"/>
  <c r="O630" i="13" s="1"/>
  <c r="M629" i="13"/>
  <c r="P629" i="13" s="1"/>
  <c r="J621" i="13"/>
  <c r="I621" i="13"/>
  <c r="J620" i="13"/>
  <c r="I620" i="13"/>
  <c r="K613" i="13"/>
  <c r="J613" i="13"/>
  <c r="K612" i="13"/>
  <c r="J612" i="13"/>
  <c r="K611" i="13"/>
  <c r="J611" i="13"/>
  <c r="J604" i="13"/>
  <c r="J603" i="13"/>
  <c r="J593" i="13" s="1"/>
  <c r="J596" i="13"/>
  <c r="J594" i="13" s="1"/>
  <c r="J595" i="13"/>
  <c r="I594" i="13"/>
  <c r="I593" i="13"/>
  <c r="I592" i="13" s="1"/>
  <c r="J583" i="13"/>
  <c r="J577" i="13" s="1"/>
  <c r="J582" i="13"/>
  <c r="I577" i="13"/>
  <c r="J576" i="13"/>
  <c r="J559" i="13" s="1"/>
  <c r="J543" i="13" s="1"/>
  <c r="I576" i="13"/>
  <c r="J569" i="13"/>
  <c r="I569" i="13"/>
  <c r="J568" i="13"/>
  <c r="I568" i="13"/>
  <c r="K568" i="13" s="1"/>
  <c r="J561" i="13"/>
  <c r="I561" i="13"/>
  <c r="J560" i="13"/>
  <c r="I560" i="13"/>
  <c r="P557" i="13"/>
  <c r="L557" i="13"/>
  <c r="L555" i="13" s="1"/>
  <c r="O555" i="13" s="1"/>
  <c r="P556" i="13"/>
  <c r="O556" i="13"/>
  <c r="N555" i="13"/>
  <c r="N545" i="13" s="1"/>
  <c r="N544" i="13" s="1"/>
  <c r="M555" i="13"/>
  <c r="P549" i="13"/>
  <c r="N549" i="13"/>
  <c r="L549" i="13"/>
  <c r="O549" i="13" s="1"/>
  <c r="P548" i="13"/>
  <c r="O548" i="13"/>
  <c r="N547" i="13"/>
  <c r="M547" i="13"/>
  <c r="P547" i="13" s="1"/>
  <c r="P546" i="13"/>
  <c r="N546" i="13"/>
  <c r="M546" i="13"/>
  <c r="O545" i="13"/>
  <c r="L545" i="13"/>
  <c r="I542" i="13"/>
  <c r="K542" i="13" s="1"/>
  <c r="I541" i="13"/>
  <c r="K541" i="13" s="1"/>
  <c r="I540" i="13"/>
  <c r="K540" i="13" s="1"/>
  <c r="I539" i="13"/>
  <c r="K539" i="13" s="1"/>
  <c r="I538" i="13"/>
  <c r="K538" i="13" s="1"/>
  <c r="I537" i="13"/>
  <c r="I522" i="13" s="1"/>
  <c r="K522" i="13" s="1"/>
  <c r="P535" i="13"/>
  <c r="L535" i="13"/>
  <c r="O535" i="13" s="1"/>
  <c r="P534" i="13"/>
  <c r="O534" i="13"/>
  <c r="P533" i="13"/>
  <c r="N533" i="13"/>
  <c r="M533" i="13"/>
  <c r="L533" i="13"/>
  <c r="O533" i="13" s="1"/>
  <c r="P528" i="13"/>
  <c r="N528" i="13"/>
  <c r="N525" i="13" s="1"/>
  <c r="L528" i="13"/>
  <c r="P527" i="13"/>
  <c r="O527" i="13"/>
  <c r="P526" i="13"/>
  <c r="N526" i="13"/>
  <c r="M526" i="13"/>
  <c r="P525" i="13"/>
  <c r="M525" i="13"/>
  <c r="O524" i="13"/>
  <c r="N524" i="13"/>
  <c r="M524" i="13"/>
  <c r="P524" i="13" s="1"/>
  <c r="L524" i="13"/>
  <c r="N523" i="13"/>
  <c r="M523" i="13"/>
  <c r="P523" i="13" s="1"/>
  <c r="K517" i="13"/>
  <c r="J517" i="13"/>
  <c r="K516" i="13"/>
  <c r="P514" i="13"/>
  <c r="O514" i="13"/>
  <c r="P513" i="13"/>
  <c r="O513" i="13"/>
  <c r="P512" i="13"/>
  <c r="O512" i="13"/>
  <c r="N512" i="13"/>
  <c r="M512" i="13"/>
  <c r="L512" i="13"/>
  <c r="P507" i="13"/>
  <c r="O507" i="13"/>
  <c r="N507" i="13"/>
  <c r="N505" i="13" s="1"/>
  <c r="P506" i="13"/>
  <c r="O506" i="13"/>
  <c r="O505" i="13"/>
  <c r="M505" i="13"/>
  <c r="P505" i="13" s="1"/>
  <c r="L505" i="13"/>
  <c r="N504" i="13"/>
  <c r="N502" i="13" s="1"/>
  <c r="M504" i="13"/>
  <c r="P504" i="13" s="1"/>
  <c r="L504" i="13"/>
  <c r="O504" i="13" s="1"/>
  <c r="N503" i="13"/>
  <c r="M503" i="13"/>
  <c r="P503" i="13" s="1"/>
  <c r="L503" i="13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L477" i="13"/>
  <c r="O477" i="13" s="1"/>
  <c r="P472" i="13"/>
  <c r="N472" i="13"/>
  <c r="N469" i="13" s="1"/>
  <c r="N467" i="13" s="1"/>
  <c r="L472" i="13"/>
  <c r="O472" i="13" s="1"/>
  <c r="P471" i="13"/>
  <c r="O471" i="13"/>
  <c r="N470" i="13"/>
  <c r="M470" i="13"/>
  <c r="P470" i="13" s="1"/>
  <c r="M469" i="13"/>
  <c r="P469" i="13" s="1"/>
  <c r="P468" i="13"/>
  <c r="N468" i="13"/>
  <c r="M468" i="13"/>
  <c r="L468" i="13"/>
  <c r="J466" i="13"/>
  <c r="I466" i="13"/>
  <c r="K466" i="13" s="1"/>
  <c r="J465" i="13"/>
  <c r="I465" i="13"/>
  <c r="K465" i="13" s="1"/>
  <c r="I464" i="13"/>
  <c r="I463" i="13"/>
  <c r="I462" i="13"/>
  <c r="I443" i="13" s="1"/>
  <c r="K443" i="13" s="1"/>
  <c r="I460" i="13"/>
  <c r="K460" i="13" s="1"/>
  <c r="K458" i="13"/>
  <c r="P456" i="13"/>
  <c r="L456" i="13"/>
  <c r="L454" i="13" s="1"/>
  <c r="O454" i="13" s="1"/>
  <c r="P455" i="13"/>
  <c r="O455" i="13"/>
  <c r="N454" i="13"/>
  <c r="M454" i="13"/>
  <c r="P454" i="13" s="1"/>
  <c r="P449" i="13"/>
  <c r="N449" i="13"/>
  <c r="L449" i="13"/>
  <c r="P448" i="13"/>
  <c r="O448" i="13"/>
  <c r="P447" i="13"/>
  <c r="N447" i="13"/>
  <c r="M447" i="13"/>
  <c r="L447" i="13"/>
  <c r="O447" i="13" s="1"/>
  <c r="N446" i="13"/>
  <c r="M446" i="13"/>
  <c r="P446" i="13" s="1"/>
  <c r="N445" i="13"/>
  <c r="N444" i="13" s="1"/>
  <c r="M445" i="13"/>
  <c r="L445" i="13"/>
  <c r="O445" i="13" s="1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K435" i="13" s="1"/>
  <c r="J434" i="13"/>
  <c r="J418" i="13" s="1"/>
  <c r="P431" i="13"/>
  <c r="L431" i="13"/>
  <c r="L429" i="13" s="1"/>
  <c r="O429" i="13" s="1"/>
  <c r="P430" i="13"/>
  <c r="O430" i="13"/>
  <c r="N429" i="13"/>
  <c r="M429" i="13"/>
  <c r="P429" i="13" s="1"/>
  <c r="P424" i="13"/>
  <c r="N424" i="13"/>
  <c r="L424" i="13"/>
  <c r="P423" i="13"/>
  <c r="O423" i="13"/>
  <c r="P422" i="13"/>
  <c r="N422" i="13"/>
  <c r="M422" i="13"/>
  <c r="L422" i="13"/>
  <c r="O422" i="13" s="1"/>
  <c r="N421" i="13"/>
  <c r="M421" i="13"/>
  <c r="P421" i="13" s="1"/>
  <c r="N420" i="13"/>
  <c r="N419" i="13" s="1"/>
  <c r="M420" i="13"/>
  <c r="L420" i="13"/>
  <c r="O420" i="13" s="1"/>
  <c r="K413" i="13"/>
  <c r="K412" i="13"/>
  <c r="N410" i="13"/>
  <c r="N408" i="13" s="1"/>
  <c r="M410" i="13"/>
  <c r="P410" i="13" s="1"/>
  <c r="L410" i="13"/>
  <c r="L408" i="13" s="1"/>
  <c r="O408" i="13" s="1"/>
  <c r="P409" i="13"/>
  <c r="O409" i="13"/>
  <c r="N407" i="13"/>
  <c r="N405" i="13" s="1"/>
  <c r="M407" i="13"/>
  <c r="P407" i="13" s="1"/>
  <c r="L407" i="13"/>
  <c r="P406" i="13"/>
  <c r="O406" i="13"/>
  <c r="P403" i="13"/>
  <c r="N403" i="13"/>
  <c r="M403" i="13"/>
  <c r="L403" i="13"/>
  <c r="J401" i="13"/>
  <c r="I401" i="13"/>
  <c r="K401" i="13" s="1"/>
  <c r="K400" i="13"/>
  <c r="K399" i="13"/>
  <c r="N397" i="13"/>
  <c r="N395" i="13" s="1"/>
  <c r="M397" i="13"/>
  <c r="P397" i="13" s="1"/>
  <c r="L397" i="13"/>
  <c r="P396" i="13"/>
  <c r="O396" i="13"/>
  <c r="N394" i="13"/>
  <c r="N392" i="13" s="1"/>
  <c r="M394" i="13"/>
  <c r="L394" i="13"/>
  <c r="O394" i="13" s="1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J374" i="13" s="1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J365" i="13" s="1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M353" i="13"/>
  <c r="M351" i="13" s="1"/>
  <c r="L353" i="13"/>
  <c r="L351" i="13" s="1"/>
  <c r="P352" i="13"/>
  <c r="O352" i="13"/>
  <c r="N350" i="13"/>
  <c r="N348" i="13" s="1"/>
  <c r="M350" i="13"/>
  <c r="M348" i="13" s="1"/>
  <c r="L350" i="13"/>
  <c r="P349" i="13"/>
  <c r="O349" i="13"/>
  <c r="N346" i="13"/>
  <c r="M346" i="13"/>
  <c r="L346" i="13"/>
  <c r="O346" i="13" s="1"/>
  <c r="J343" i="13"/>
  <c r="J342" i="13"/>
  <c r="J341" i="13"/>
  <c r="J340" i="13"/>
  <c r="I340" i="13"/>
  <c r="J338" i="13"/>
  <c r="I338" i="13"/>
  <c r="N336" i="13"/>
  <c r="N334" i="13" s="1"/>
  <c r="M336" i="13"/>
  <c r="M334" i="13" s="1"/>
  <c r="P334" i="13" s="1"/>
  <c r="L336" i="13"/>
  <c r="O336" i="13" s="1"/>
  <c r="P335" i="13"/>
  <c r="O335" i="13"/>
  <c r="N333" i="13"/>
  <c r="M333" i="13"/>
  <c r="M331" i="13" s="1"/>
  <c r="L333" i="13"/>
  <c r="L331" i="13" s="1"/>
  <c r="P332" i="13"/>
  <c r="O332" i="13"/>
  <c r="O329" i="13"/>
  <c r="N329" i="13"/>
  <c r="M329" i="13"/>
  <c r="P329" i="13" s="1"/>
  <c r="L329" i="13"/>
  <c r="I327" i="13"/>
  <c r="I325" i="13"/>
  <c r="K325" i="13" s="1"/>
  <c r="N323" i="13"/>
  <c r="N321" i="13" s="1"/>
  <c r="M323" i="13"/>
  <c r="L323" i="13"/>
  <c r="O323" i="13" s="1"/>
  <c r="P322" i="13"/>
  <c r="O322" i="13"/>
  <c r="N320" i="13"/>
  <c r="M320" i="13"/>
  <c r="P320" i="13" s="1"/>
  <c r="L320" i="13"/>
  <c r="O320" i="13" s="1"/>
  <c r="P319" i="13"/>
  <c r="O319" i="13"/>
  <c r="P316" i="13"/>
  <c r="N316" i="13"/>
  <c r="M316" i="13"/>
  <c r="L316" i="13"/>
  <c r="O316" i="13" s="1"/>
  <c r="J314" i="13"/>
  <c r="I312" i="13"/>
  <c r="K312" i="13" s="1"/>
  <c r="I311" i="13"/>
  <c r="K311" i="13" s="1"/>
  <c r="I310" i="13"/>
  <c r="K310" i="13" s="1"/>
  <c r="I309" i="13"/>
  <c r="I297" i="13" s="1"/>
  <c r="K297" i="13" s="1"/>
  <c r="N306" i="13"/>
  <c r="N304" i="13" s="1"/>
  <c r="M306" i="13"/>
  <c r="P306" i="13" s="1"/>
  <c r="L306" i="13"/>
  <c r="P305" i="13"/>
  <c r="O305" i="13"/>
  <c r="N303" i="13"/>
  <c r="M303" i="13"/>
  <c r="L303" i="13"/>
  <c r="P302" i="13"/>
  <c r="O302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I287" i="13"/>
  <c r="K287" i="13" s="1"/>
  <c r="N285" i="13"/>
  <c r="N283" i="13" s="1"/>
  <c r="M285" i="13"/>
  <c r="M283" i="13" s="1"/>
  <c r="P283" i="13" s="1"/>
  <c r="L285" i="13"/>
  <c r="L283" i="13" s="1"/>
  <c r="O283" i="13" s="1"/>
  <c r="P284" i="13"/>
  <c r="O284" i="13"/>
  <c r="N282" i="13"/>
  <c r="M282" i="13"/>
  <c r="M280" i="13" s="1"/>
  <c r="L282" i="13"/>
  <c r="P281" i="13"/>
  <c r="O281" i="13"/>
  <c r="N278" i="13"/>
  <c r="M278" i="13"/>
  <c r="P278" i="13" s="1"/>
  <c r="L278" i="13"/>
  <c r="O278" i="13" s="1"/>
  <c r="J276" i="13"/>
  <c r="I271" i="13"/>
  <c r="K271" i="13" s="1"/>
  <c r="N269" i="13"/>
  <c r="N267" i="13" s="1"/>
  <c r="M269" i="13"/>
  <c r="P269" i="13" s="1"/>
  <c r="L269" i="13"/>
  <c r="L267" i="13" s="1"/>
  <c r="O267" i="13" s="1"/>
  <c r="P268" i="13"/>
  <c r="O268" i="13"/>
  <c r="N266" i="13"/>
  <c r="M266" i="13"/>
  <c r="M264" i="13" s="1"/>
  <c r="L266" i="13"/>
  <c r="P265" i="13"/>
  <c r="O265" i="13"/>
  <c r="N262" i="13"/>
  <c r="M262" i="13"/>
  <c r="L262" i="13"/>
  <c r="O262" i="13" s="1"/>
  <c r="J260" i="13"/>
  <c r="K258" i="13"/>
  <c r="K257" i="13"/>
  <c r="I255" i="13"/>
  <c r="I248" i="13" s="1"/>
  <c r="L253" i="13"/>
  <c r="L252" i="13"/>
  <c r="L251" i="13"/>
  <c r="L250" i="13"/>
  <c r="P249" i="13"/>
  <c r="N249" i="13"/>
  <c r="J248" i="13"/>
  <c r="K247" i="13"/>
  <c r="K246" i="13"/>
  <c r="I244" i="13"/>
  <c r="K244" i="13" s="1"/>
  <c r="L242" i="13"/>
  <c r="L241" i="13"/>
  <c r="L240" i="13"/>
  <c r="L239" i="13"/>
  <c r="P238" i="13"/>
  <c r="N238" i="13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J226" i="13"/>
  <c r="I225" i="13"/>
  <c r="K225" i="13" s="1"/>
  <c r="I224" i="13"/>
  <c r="I223" i="13"/>
  <c r="K223" i="13" s="1"/>
  <c r="L220" i="13"/>
  <c r="L219" i="13"/>
  <c r="L218" i="13"/>
  <c r="P217" i="13"/>
  <c r="N217" i="13"/>
  <c r="J216" i="13"/>
  <c r="I215" i="13"/>
  <c r="I208" i="13" s="1"/>
  <c r="K208" i="13" s="1"/>
  <c r="I214" i="13"/>
  <c r="K214" i="13" s="1"/>
  <c r="L212" i="13"/>
  <c r="L211" i="13"/>
  <c r="L210" i="13"/>
  <c r="P209" i="13"/>
  <c r="N209" i="13"/>
  <c r="J208" i="13"/>
  <c r="K207" i="13"/>
  <c r="K206" i="13"/>
  <c r="I204" i="13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M187" i="13" s="1"/>
  <c r="P187" i="13" s="1"/>
  <c r="L189" i="13"/>
  <c r="O189" i="13" s="1"/>
  <c r="P188" i="13"/>
  <c r="O188" i="13"/>
  <c r="N186" i="13"/>
  <c r="N184" i="13" s="1"/>
  <c r="M186" i="13"/>
  <c r="L186" i="13"/>
  <c r="L184" i="13" s="1"/>
  <c r="P185" i="13"/>
  <c r="O185" i="13"/>
  <c r="P182" i="13"/>
  <c r="O182" i="13"/>
  <c r="N182" i="13"/>
  <c r="M182" i="13"/>
  <c r="L182" i="13"/>
  <c r="J180" i="13"/>
  <c r="J177" i="13"/>
  <c r="I176" i="13"/>
  <c r="I174" i="13" s="1"/>
  <c r="I164" i="13" s="1"/>
  <c r="J174" i="13"/>
  <c r="N173" i="13"/>
  <c r="N171" i="13" s="1"/>
  <c r="M173" i="13"/>
  <c r="P173" i="13" s="1"/>
  <c r="L173" i="13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I159" i="13"/>
  <c r="K159" i="13" s="1"/>
  <c r="N157" i="13"/>
  <c r="N155" i="13" s="1"/>
  <c r="M157" i="13"/>
  <c r="P157" i="13" s="1"/>
  <c r="L157" i="13"/>
  <c r="P156" i="13"/>
  <c r="O156" i="13"/>
  <c r="N154" i="13"/>
  <c r="M154" i="13"/>
  <c r="M152" i="13" s="1"/>
  <c r="L154" i="13"/>
  <c r="P153" i="13"/>
  <c r="O153" i="13"/>
  <c r="N150" i="13"/>
  <c r="M150" i="13"/>
  <c r="P150" i="13" s="1"/>
  <c r="L150" i="13"/>
  <c r="O150" i="13" s="1"/>
  <c r="J148" i="13"/>
  <c r="I146" i="13"/>
  <c r="K146" i="13" s="1"/>
  <c r="I145" i="13"/>
  <c r="I144" i="13"/>
  <c r="K144" i="13" s="1"/>
  <c r="N140" i="13"/>
  <c r="N138" i="13" s="1"/>
  <c r="M140" i="13"/>
  <c r="L140" i="13"/>
  <c r="P139" i="13"/>
  <c r="O139" i="13"/>
  <c r="N137" i="13"/>
  <c r="N135" i="13" s="1"/>
  <c r="M137" i="13"/>
  <c r="M135" i="13" s="1"/>
  <c r="L137" i="13"/>
  <c r="P136" i="13"/>
  <c r="O136" i="13"/>
  <c r="P133" i="13"/>
  <c r="O133" i="13"/>
  <c r="N133" i="13"/>
  <c r="M133" i="13"/>
  <c r="L133" i="13"/>
  <c r="J130" i="13"/>
  <c r="N127" i="13"/>
  <c r="N125" i="13" s="1"/>
  <c r="M127" i="13"/>
  <c r="L127" i="13"/>
  <c r="L125" i="13" s="1"/>
  <c r="O125" i="13" s="1"/>
  <c r="P126" i="13"/>
  <c r="O126" i="13"/>
  <c r="N124" i="13"/>
  <c r="M124" i="13"/>
  <c r="L124" i="13"/>
  <c r="O124" i="13" s="1"/>
  <c r="P123" i="13"/>
  <c r="O123" i="13"/>
  <c r="N120" i="13"/>
  <c r="M120" i="13"/>
  <c r="P120" i="13" s="1"/>
  <c r="L120" i="13"/>
  <c r="I116" i="13"/>
  <c r="I115" i="13"/>
  <c r="K115" i="13" s="1"/>
  <c r="I114" i="13"/>
  <c r="K114" i="13" s="1"/>
  <c r="I113" i="13"/>
  <c r="K113" i="13" s="1"/>
  <c r="J112" i="13"/>
  <c r="J111" i="13"/>
  <c r="I111" i="13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I99" i="13"/>
  <c r="K99" i="13" s="1"/>
  <c r="J98" i="13"/>
  <c r="J86" i="13" s="1"/>
  <c r="I98" i="13"/>
  <c r="N96" i="13"/>
  <c r="N94" i="13" s="1"/>
  <c r="M96" i="13"/>
  <c r="P96" i="13" s="1"/>
  <c r="L96" i="13"/>
  <c r="O96" i="13" s="1"/>
  <c r="P95" i="13"/>
  <c r="O95" i="13"/>
  <c r="N93" i="13"/>
  <c r="N91" i="13" s="1"/>
  <c r="M93" i="13"/>
  <c r="L93" i="13"/>
  <c r="P92" i="13"/>
  <c r="O92" i="13"/>
  <c r="P89" i="13"/>
  <c r="N89" i="13"/>
  <c r="M89" i="13"/>
  <c r="L89" i="13"/>
  <c r="O89" i="13" s="1"/>
  <c r="J87" i="13"/>
  <c r="I87" i="13"/>
  <c r="K87" i="13" s="1"/>
  <c r="I84" i="13"/>
  <c r="K84" i="13" s="1"/>
  <c r="I83" i="13"/>
  <c r="K83" i="13" s="1"/>
  <c r="I82" i="13"/>
  <c r="K82" i="13" s="1"/>
  <c r="I81" i="13"/>
  <c r="I80" i="13"/>
  <c r="K80" i="13" s="1"/>
  <c r="I79" i="13"/>
  <c r="K79" i="13" s="1"/>
  <c r="I78" i="13"/>
  <c r="K78" i="13" s="1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M71" i="13"/>
  <c r="P71" i="13" s="1"/>
  <c r="L71" i="13"/>
  <c r="O71" i="13" s="1"/>
  <c r="P70" i="13"/>
  <c r="O70" i="13"/>
  <c r="P67" i="13"/>
  <c r="O67" i="13"/>
  <c r="N67" i="13"/>
  <c r="M67" i="13"/>
  <c r="L67" i="13"/>
  <c r="J65" i="13"/>
  <c r="N61" i="13"/>
  <c r="N59" i="13" s="1"/>
  <c r="M61" i="13"/>
  <c r="L61" i="13"/>
  <c r="L59" i="13" s="1"/>
  <c r="O59" i="13" s="1"/>
  <c r="P60" i="13"/>
  <c r="O60" i="13"/>
  <c r="N58" i="13"/>
  <c r="M58" i="13"/>
  <c r="L58" i="13"/>
  <c r="L56" i="13" s="1"/>
  <c r="P57" i="13"/>
  <c r="O57" i="13"/>
  <c r="N54" i="13"/>
  <c r="M54" i="13"/>
  <c r="P54" i="13" s="1"/>
  <c r="L54" i="13"/>
  <c r="N49" i="13"/>
  <c r="M49" i="13"/>
  <c r="L49" i="13"/>
  <c r="O49" i="13" s="1"/>
  <c r="P48" i="13"/>
  <c r="O48" i="13"/>
  <c r="N46" i="13"/>
  <c r="M46" i="13"/>
  <c r="M44" i="13" s="1"/>
  <c r="L46" i="13"/>
  <c r="P45" i="13"/>
  <c r="O45" i="13"/>
  <c r="P42" i="13"/>
  <c r="O42" i="13"/>
  <c r="N42" i="13"/>
  <c r="M42" i="13"/>
  <c r="L42" i="13"/>
  <c r="N36" i="13"/>
  <c r="N34" i="13" s="1"/>
  <c r="M36" i="13"/>
  <c r="P36" i="13" s="1"/>
  <c r="N35" i="13"/>
  <c r="M35" i="13"/>
  <c r="P35" i="13" s="1"/>
  <c r="L35" i="13"/>
  <c r="O35" i="13" s="1"/>
  <c r="P33" i="13"/>
  <c r="N33" i="13"/>
  <c r="M33" i="13"/>
  <c r="P32" i="13"/>
  <c r="O32" i="13"/>
  <c r="N32" i="13"/>
  <c r="N12" i="13" s="1"/>
  <c r="M32" i="13"/>
  <c r="L32" i="13"/>
  <c r="M31" i="13"/>
  <c r="P31" i="13" s="1"/>
  <c r="N30" i="13"/>
  <c r="M30" i="13"/>
  <c r="P30" i="13" s="1"/>
  <c r="M29" i="13"/>
  <c r="P29" i="13" s="1"/>
  <c r="L29" i="13"/>
  <c r="O29" i="13" s="1"/>
  <c r="P25" i="13"/>
  <c r="O25" i="13"/>
  <c r="N25" i="13"/>
  <c r="M25" i="13"/>
  <c r="L25" i="13"/>
  <c r="N22" i="13"/>
  <c r="M22" i="13"/>
  <c r="L22" i="13"/>
  <c r="O22" i="13" s="1"/>
  <c r="N19" i="13"/>
  <c r="M15" i="13"/>
  <c r="L15" i="13"/>
  <c r="O15" i="13" s="1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P791" i="12"/>
  <c r="N791" i="12"/>
  <c r="N788" i="12" s="1"/>
  <c r="N786" i="12" s="1"/>
  <c r="L791" i="12"/>
  <c r="P790" i="12"/>
  <c r="O790" i="12"/>
  <c r="N789" i="12"/>
  <c r="M789" i="12"/>
  <c r="P789" i="12" s="1"/>
  <c r="P788" i="12"/>
  <c r="M788" i="12"/>
  <c r="M786" i="12" s="1"/>
  <c r="P786" i="12" s="1"/>
  <c r="O787" i="12"/>
  <c r="N787" i="12"/>
  <c r="M787" i="12"/>
  <c r="P787" i="12" s="1"/>
  <c r="L787" i="12"/>
  <c r="P782" i="12"/>
  <c r="O782" i="12"/>
  <c r="P781" i="12"/>
  <c r="O781" i="12"/>
  <c r="P780" i="12"/>
  <c r="N780" i="12"/>
  <c r="M780" i="12"/>
  <c r="L780" i="12"/>
  <c r="O780" i="12" s="1"/>
  <c r="P775" i="12"/>
  <c r="O775" i="12"/>
  <c r="N775" i="12"/>
  <c r="P774" i="12"/>
  <c r="O774" i="12"/>
  <c r="P773" i="12"/>
  <c r="N773" i="12"/>
  <c r="M773" i="12"/>
  <c r="L773" i="12"/>
  <c r="O773" i="12" s="1"/>
  <c r="O772" i="12"/>
  <c r="N772" i="12"/>
  <c r="N770" i="12" s="1"/>
  <c r="M772" i="12"/>
  <c r="P772" i="12" s="1"/>
  <c r="L772" i="12"/>
  <c r="P771" i="12"/>
  <c r="N771" i="12"/>
  <c r="M771" i="12"/>
  <c r="M770" i="12" s="1"/>
  <c r="P770" i="12" s="1"/>
  <c r="L771" i="12"/>
  <c r="O771" i="12" s="1"/>
  <c r="K769" i="12"/>
  <c r="J769" i="12"/>
  <c r="P766" i="12"/>
  <c r="O766" i="12"/>
  <c r="P765" i="12"/>
  <c r="O765" i="12"/>
  <c r="P764" i="12"/>
  <c r="N764" i="12"/>
  <c r="M764" i="12"/>
  <c r="L764" i="12"/>
  <c r="O764" i="12" s="1"/>
  <c r="P759" i="12"/>
  <c r="O759" i="12"/>
  <c r="N759" i="12"/>
  <c r="P758" i="12"/>
  <c r="O758" i="12"/>
  <c r="P757" i="12"/>
  <c r="N757" i="12"/>
  <c r="M757" i="12"/>
  <c r="L757" i="12"/>
  <c r="O757" i="12" s="1"/>
  <c r="O756" i="12"/>
  <c r="N756" i="12"/>
  <c r="N754" i="12" s="1"/>
  <c r="M756" i="12"/>
  <c r="P756" i="12" s="1"/>
  <c r="L756" i="12"/>
  <c r="P755" i="12"/>
  <c r="N755" i="12"/>
  <c r="M755" i="12"/>
  <c r="M754" i="12" s="1"/>
  <c r="P754" i="12" s="1"/>
  <c r="L755" i="12"/>
  <c r="O755" i="12" s="1"/>
  <c r="K753" i="12"/>
  <c r="J753" i="12"/>
  <c r="P749" i="12"/>
  <c r="O749" i="12"/>
  <c r="P748" i="12"/>
  <c r="O748" i="12"/>
  <c r="P747" i="12"/>
  <c r="N747" i="12"/>
  <c r="M747" i="12"/>
  <c r="L747" i="12"/>
  <c r="O747" i="12" s="1"/>
  <c r="P742" i="12"/>
  <c r="O742" i="12"/>
  <c r="N742" i="12"/>
  <c r="P741" i="12"/>
  <c r="O741" i="12"/>
  <c r="P740" i="12"/>
  <c r="N740" i="12"/>
  <c r="M740" i="12"/>
  <c r="L740" i="12"/>
  <c r="O740" i="12" s="1"/>
  <c r="O739" i="12"/>
  <c r="N739" i="12"/>
  <c r="N737" i="12" s="1"/>
  <c r="M739" i="12"/>
  <c r="P739" i="12" s="1"/>
  <c r="L739" i="12"/>
  <c r="P738" i="12"/>
  <c r="N738" i="12"/>
  <c r="M738" i="12"/>
  <c r="M737" i="12" s="1"/>
  <c r="P737" i="12" s="1"/>
  <c r="L738" i="12"/>
  <c r="O738" i="12" s="1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P695" i="12"/>
  <c r="N695" i="12"/>
  <c r="M695" i="12"/>
  <c r="L695" i="12"/>
  <c r="O695" i="12" s="1"/>
  <c r="P690" i="12"/>
  <c r="N690" i="12"/>
  <c r="L690" i="12"/>
  <c r="N688" i="12"/>
  <c r="M688" i="12"/>
  <c r="P688" i="12" s="1"/>
  <c r="P687" i="12"/>
  <c r="N687" i="12"/>
  <c r="M687" i="12"/>
  <c r="M685" i="12" s="1"/>
  <c r="P685" i="12" s="1"/>
  <c r="O686" i="12"/>
  <c r="N686" i="12"/>
  <c r="M686" i="12"/>
  <c r="P686" i="12" s="1"/>
  <c r="L686" i="12"/>
  <c r="N685" i="12"/>
  <c r="J679" i="12"/>
  <c r="J678" i="12" s="1"/>
  <c r="I678" i="12"/>
  <c r="K678" i="12" s="1"/>
  <c r="J675" i="12"/>
  <c r="J669" i="12" s="1"/>
  <c r="J654" i="12" s="1"/>
  <c r="I671" i="12"/>
  <c r="K671" i="12" s="1"/>
  <c r="I670" i="12"/>
  <c r="K670" i="12" s="1"/>
  <c r="I669" i="12"/>
  <c r="P667" i="12"/>
  <c r="O667" i="12"/>
  <c r="P666" i="12"/>
  <c r="O666" i="12"/>
  <c r="O665" i="12"/>
  <c r="N665" i="12"/>
  <c r="M665" i="12"/>
  <c r="P665" i="12" s="1"/>
  <c r="L665" i="12"/>
  <c r="P660" i="12"/>
  <c r="N660" i="12"/>
  <c r="N657" i="12" s="1"/>
  <c r="L660" i="12"/>
  <c r="L658" i="12" s="1"/>
  <c r="O658" i="12" s="1"/>
  <c r="P659" i="12"/>
  <c r="O659" i="12"/>
  <c r="P658" i="12"/>
  <c r="N658" i="12"/>
  <c r="M658" i="12"/>
  <c r="M657" i="12"/>
  <c r="P656" i="12"/>
  <c r="N656" i="12"/>
  <c r="N655" i="12" s="1"/>
  <c r="M656" i="12"/>
  <c r="L656" i="12"/>
  <c r="K652" i="12"/>
  <c r="J652" i="12"/>
  <c r="J651" i="12"/>
  <c r="J628" i="12" s="1"/>
  <c r="I651" i="12"/>
  <c r="I628" i="12" s="1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N639" i="12"/>
  <c r="M639" i="12"/>
  <c r="P639" i="12" s="1"/>
  <c r="P634" i="12"/>
  <c r="N634" i="12"/>
  <c r="L634" i="12"/>
  <c r="O634" i="12" s="1"/>
  <c r="P633" i="12"/>
  <c r="O633" i="12"/>
  <c r="P632" i="12"/>
  <c r="N632" i="12"/>
  <c r="M632" i="12"/>
  <c r="N631" i="12"/>
  <c r="M631" i="12"/>
  <c r="P631" i="12" s="1"/>
  <c r="P630" i="12"/>
  <c r="N630" i="12"/>
  <c r="N629" i="12" s="1"/>
  <c r="M630" i="12"/>
  <c r="L630" i="12"/>
  <c r="O630" i="12" s="1"/>
  <c r="M629" i="12"/>
  <c r="P629" i="12" s="1"/>
  <c r="J621" i="12"/>
  <c r="I621" i="12"/>
  <c r="J620" i="12"/>
  <c r="I620" i="12"/>
  <c r="K620" i="12" s="1"/>
  <c r="K613" i="12"/>
  <c r="J613" i="12"/>
  <c r="K612" i="12"/>
  <c r="J612" i="12"/>
  <c r="K611" i="12"/>
  <c r="J611" i="12"/>
  <c r="J604" i="12"/>
  <c r="J603" i="12"/>
  <c r="J593" i="12" s="1"/>
  <c r="J592" i="12" s="1"/>
  <c r="J596" i="12"/>
  <c r="J595" i="12"/>
  <c r="J594" i="12"/>
  <c r="I594" i="12"/>
  <c r="I593" i="12"/>
  <c r="I592" i="12" s="1"/>
  <c r="K592" i="12" s="1"/>
  <c r="J583" i="12"/>
  <c r="J577" i="12" s="1"/>
  <c r="J582" i="12"/>
  <c r="I577" i="12"/>
  <c r="J576" i="12"/>
  <c r="J559" i="12" s="1"/>
  <c r="J543" i="12" s="1"/>
  <c r="I576" i="12"/>
  <c r="K576" i="12" s="1"/>
  <c r="J569" i="12"/>
  <c r="I569" i="12"/>
  <c r="K569" i="12" s="1"/>
  <c r="J568" i="12"/>
  <c r="I568" i="12"/>
  <c r="J561" i="12"/>
  <c r="I561" i="12"/>
  <c r="K561" i="12" s="1"/>
  <c r="J560" i="12"/>
  <c r="I560" i="12"/>
  <c r="K560" i="12" s="1"/>
  <c r="P557" i="12"/>
  <c r="L557" i="12"/>
  <c r="L555" i="12" s="1"/>
  <c r="O555" i="12" s="1"/>
  <c r="P556" i="12"/>
  <c r="O556" i="12"/>
  <c r="P555" i="12"/>
  <c r="N555" i="12"/>
  <c r="N545" i="12" s="1"/>
  <c r="N544" i="12" s="1"/>
  <c r="M555" i="12"/>
  <c r="P549" i="12"/>
  <c r="N549" i="12"/>
  <c r="L549" i="12"/>
  <c r="P548" i="12"/>
  <c r="O548" i="12"/>
  <c r="N547" i="12"/>
  <c r="M547" i="12"/>
  <c r="P547" i="12" s="1"/>
  <c r="P546" i="12"/>
  <c r="N546" i="12"/>
  <c r="M546" i="12"/>
  <c r="O545" i="12"/>
  <c r="M545" i="12"/>
  <c r="L545" i="12"/>
  <c r="I542" i="12"/>
  <c r="K542" i="12" s="1"/>
  <c r="I541" i="12"/>
  <c r="K541" i="12" s="1"/>
  <c r="I540" i="12"/>
  <c r="K540" i="12" s="1"/>
  <c r="I539" i="12"/>
  <c r="I538" i="12"/>
  <c r="K538" i="12" s="1"/>
  <c r="I537" i="12"/>
  <c r="I522" i="12" s="1"/>
  <c r="K522" i="12" s="1"/>
  <c r="P535" i="12"/>
  <c r="L535" i="12"/>
  <c r="O535" i="12" s="1"/>
  <c r="P534" i="12"/>
  <c r="O534" i="12"/>
  <c r="P533" i="12"/>
  <c r="N533" i="12"/>
  <c r="M533" i="12"/>
  <c r="P528" i="12"/>
  <c r="N528" i="12"/>
  <c r="N525" i="12" s="1"/>
  <c r="L528" i="12"/>
  <c r="P527" i="12"/>
  <c r="O527" i="12"/>
  <c r="N526" i="12"/>
  <c r="M526" i="12"/>
  <c r="P526" i="12" s="1"/>
  <c r="M525" i="12"/>
  <c r="N524" i="12"/>
  <c r="M524" i="12"/>
  <c r="P524" i="12" s="1"/>
  <c r="L524" i="12"/>
  <c r="N523" i="12"/>
  <c r="K517" i="12"/>
  <c r="J517" i="12"/>
  <c r="K516" i="12"/>
  <c r="P514" i="12"/>
  <c r="O514" i="12"/>
  <c r="P513" i="12"/>
  <c r="O513" i="12"/>
  <c r="O512" i="12"/>
  <c r="N512" i="12"/>
  <c r="M512" i="12"/>
  <c r="P512" i="12" s="1"/>
  <c r="L512" i="12"/>
  <c r="P507" i="12"/>
  <c r="O507" i="12"/>
  <c r="N507" i="12"/>
  <c r="P506" i="12"/>
  <c r="O506" i="12"/>
  <c r="N505" i="12"/>
  <c r="M505" i="12"/>
  <c r="P505" i="12" s="1"/>
  <c r="L505" i="12"/>
  <c r="O505" i="12" s="1"/>
  <c r="P504" i="12"/>
  <c r="N504" i="12"/>
  <c r="M504" i="12"/>
  <c r="L504" i="12"/>
  <c r="O504" i="12" s="1"/>
  <c r="P503" i="12"/>
  <c r="O503" i="12"/>
  <c r="N503" i="12"/>
  <c r="M503" i="12"/>
  <c r="M502" i="12" s="1"/>
  <c r="P502" i="12" s="1"/>
  <c r="L503" i="12"/>
  <c r="O502" i="12"/>
  <c r="N502" i="12"/>
  <c r="L502" i="12"/>
  <c r="K501" i="12"/>
  <c r="J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L477" i="12" s="1"/>
  <c r="O477" i="12" s="1"/>
  <c r="P478" i="12"/>
  <c r="O478" i="12"/>
  <c r="N477" i="12"/>
  <c r="M477" i="12"/>
  <c r="P477" i="12" s="1"/>
  <c r="P472" i="12"/>
  <c r="N472" i="12"/>
  <c r="L472" i="12"/>
  <c r="P471" i="12"/>
  <c r="O471" i="12"/>
  <c r="N470" i="12"/>
  <c r="M470" i="12"/>
  <c r="P470" i="12" s="1"/>
  <c r="P469" i="12"/>
  <c r="N469" i="12"/>
  <c r="N467" i="12" s="1"/>
  <c r="M469" i="12"/>
  <c r="O468" i="12"/>
  <c r="N468" i="12"/>
  <c r="M468" i="12"/>
  <c r="M467" i="12" s="1"/>
  <c r="P467" i="12" s="1"/>
  <c r="L468" i="12"/>
  <c r="J466" i="12"/>
  <c r="I466" i="12"/>
  <c r="K466" i="12" s="1"/>
  <c r="J465" i="12"/>
  <c r="I465" i="12"/>
  <c r="K465" i="12" s="1"/>
  <c r="I464" i="12"/>
  <c r="I463" i="12"/>
  <c r="I462" i="12"/>
  <c r="I460" i="12"/>
  <c r="K460" i="12" s="1"/>
  <c r="K458" i="12"/>
  <c r="P456" i="12"/>
  <c r="L456" i="12"/>
  <c r="P455" i="12"/>
  <c r="O455" i="12"/>
  <c r="P454" i="12"/>
  <c r="N454" i="12"/>
  <c r="M454" i="12"/>
  <c r="P449" i="12"/>
  <c r="N449" i="12"/>
  <c r="L449" i="12"/>
  <c r="O449" i="12" s="1"/>
  <c r="P448" i="12"/>
  <c r="O448" i="12"/>
  <c r="N447" i="12"/>
  <c r="M447" i="12"/>
  <c r="P447" i="12" s="1"/>
  <c r="N446" i="12"/>
  <c r="M446" i="12"/>
  <c r="P446" i="12" s="1"/>
  <c r="P445" i="12"/>
  <c r="N445" i="12"/>
  <c r="M445" i="12"/>
  <c r="L445" i="12"/>
  <c r="O445" i="12" s="1"/>
  <c r="P444" i="12"/>
  <c r="M444" i="12"/>
  <c r="J443" i="12"/>
  <c r="J442" i="12"/>
  <c r="I441" i="12"/>
  <c r="K441" i="12" s="1"/>
  <c r="I440" i="12"/>
  <c r="K440" i="12" s="1"/>
  <c r="I439" i="12"/>
  <c r="I438" i="12"/>
  <c r="K438" i="12" s="1"/>
  <c r="I437" i="12"/>
  <c r="K437" i="12" s="1"/>
  <c r="I435" i="12"/>
  <c r="J434" i="12"/>
  <c r="J418" i="12" s="1"/>
  <c r="P431" i="12"/>
  <c r="L431" i="12"/>
  <c r="O431" i="12" s="1"/>
  <c r="P430" i="12"/>
  <c r="O430" i="12"/>
  <c r="N429" i="12"/>
  <c r="M429" i="12"/>
  <c r="P429" i="12" s="1"/>
  <c r="P424" i="12"/>
  <c r="N424" i="12"/>
  <c r="N421" i="12" s="1"/>
  <c r="L424" i="12"/>
  <c r="O424" i="12" s="1"/>
  <c r="P423" i="12"/>
  <c r="O423" i="12"/>
  <c r="P422" i="12"/>
  <c r="N422" i="12"/>
  <c r="M422" i="12"/>
  <c r="M421" i="12"/>
  <c r="P421" i="12" s="1"/>
  <c r="N420" i="12"/>
  <c r="M420" i="12"/>
  <c r="L420" i="12"/>
  <c r="O420" i="12" s="1"/>
  <c r="K413" i="12"/>
  <c r="K412" i="12"/>
  <c r="N410" i="12"/>
  <c r="N408" i="12" s="1"/>
  <c r="M410" i="12"/>
  <c r="M408" i="12" s="1"/>
  <c r="P408" i="12" s="1"/>
  <c r="L410" i="12"/>
  <c r="O410" i="12" s="1"/>
  <c r="P409" i="12"/>
  <c r="O409" i="12"/>
  <c r="N407" i="12"/>
  <c r="N405" i="12" s="1"/>
  <c r="M407" i="12"/>
  <c r="P407" i="12" s="1"/>
  <c r="L407" i="12"/>
  <c r="L405" i="12" s="1"/>
  <c r="O405" i="12" s="1"/>
  <c r="P406" i="12"/>
  <c r="O406" i="12"/>
  <c r="P403" i="12"/>
  <c r="N403" i="12"/>
  <c r="M403" i="12"/>
  <c r="L403" i="12"/>
  <c r="O403" i="12" s="1"/>
  <c r="K401" i="12"/>
  <c r="J401" i="12"/>
  <c r="I401" i="12"/>
  <c r="K400" i="12"/>
  <c r="K399" i="12"/>
  <c r="N397" i="12"/>
  <c r="N395" i="12" s="1"/>
  <c r="M397" i="12"/>
  <c r="L397" i="12"/>
  <c r="O397" i="12" s="1"/>
  <c r="P396" i="12"/>
  <c r="O396" i="12"/>
  <c r="N394" i="12"/>
  <c r="N392" i="12" s="1"/>
  <c r="M394" i="12"/>
  <c r="M392" i="12" s="1"/>
  <c r="P392" i="12" s="1"/>
  <c r="L394" i="12"/>
  <c r="L392" i="12" s="1"/>
  <c r="O392" i="12" s="1"/>
  <c r="P393" i="12"/>
  <c r="O393" i="12"/>
  <c r="P390" i="12"/>
  <c r="N390" i="12"/>
  <c r="M390" i="12"/>
  <c r="L390" i="12"/>
  <c r="K388" i="12"/>
  <c r="J388" i="12"/>
  <c r="I388" i="12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N348" i="12" s="1"/>
  <c r="M350" i="12"/>
  <c r="L350" i="12"/>
  <c r="L348" i="12" s="1"/>
  <c r="P349" i="12"/>
  <c r="O349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P336" i="12" s="1"/>
  <c r="L336" i="12"/>
  <c r="P335" i="12"/>
  <c r="O335" i="12"/>
  <c r="N333" i="12"/>
  <c r="N331" i="12" s="1"/>
  <c r="M333" i="12"/>
  <c r="L333" i="12"/>
  <c r="L331" i="12" s="1"/>
  <c r="P332" i="12"/>
  <c r="O332" i="12"/>
  <c r="N329" i="12"/>
  <c r="M329" i="12"/>
  <c r="P329" i="12" s="1"/>
  <c r="L329" i="12"/>
  <c r="O329" i="12" s="1"/>
  <c r="I327" i="12"/>
  <c r="I325" i="12"/>
  <c r="I314" i="12" s="1"/>
  <c r="K314" i="12" s="1"/>
  <c r="N323" i="12"/>
  <c r="N321" i="12" s="1"/>
  <c r="M323" i="12"/>
  <c r="P323" i="12" s="1"/>
  <c r="L323" i="12"/>
  <c r="O323" i="12" s="1"/>
  <c r="P322" i="12"/>
  <c r="O322" i="12"/>
  <c r="N320" i="12"/>
  <c r="N318" i="12" s="1"/>
  <c r="M320" i="12"/>
  <c r="P320" i="12" s="1"/>
  <c r="L320" i="12"/>
  <c r="O320" i="12" s="1"/>
  <c r="P319" i="12"/>
  <c r="O319" i="12"/>
  <c r="P316" i="12"/>
  <c r="O316" i="12"/>
  <c r="N316" i="12"/>
  <c r="M316" i="12"/>
  <c r="L316" i="12"/>
  <c r="J314" i="12"/>
  <c r="I312" i="12"/>
  <c r="K312" i="12" s="1"/>
  <c r="I311" i="12"/>
  <c r="K311" i="12" s="1"/>
  <c r="I310" i="12"/>
  <c r="K310" i="12" s="1"/>
  <c r="I309" i="12"/>
  <c r="K309" i="12" s="1"/>
  <c r="N306" i="12"/>
  <c r="N304" i="12" s="1"/>
  <c r="M306" i="12"/>
  <c r="M304" i="12" s="1"/>
  <c r="P304" i="12" s="1"/>
  <c r="L306" i="12"/>
  <c r="O306" i="12" s="1"/>
  <c r="P305" i="12"/>
  <c r="O305" i="12"/>
  <c r="N303" i="12"/>
  <c r="N301" i="12" s="1"/>
  <c r="M303" i="12"/>
  <c r="M301" i="12" s="1"/>
  <c r="L303" i="12"/>
  <c r="P302" i="12"/>
  <c r="O302" i="12"/>
  <c r="N299" i="12"/>
  <c r="M299" i="12"/>
  <c r="P299" i="12" s="1"/>
  <c r="L299" i="12"/>
  <c r="O299" i="12" s="1"/>
  <c r="J297" i="12"/>
  <c r="I294" i="12"/>
  <c r="K294" i="12" s="1"/>
  <c r="I293" i="12"/>
  <c r="K293" i="12" s="1"/>
  <c r="I291" i="12"/>
  <c r="K291" i="12" s="1"/>
  <c r="I290" i="12"/>
  <c r="K290" i="12" s="1"/>
  <c r="I288" i="12"/>
  <c r="I275" i="12" s="1"/>
  <c r="I287" i="12"/>
  <c r="K287" i="12" s="1"/>
  <c r="N285" i="12"/>
  <c r="N283" i="12" s="1"/>
  <c r="M285" i="12"/>
  <c r="L285" i="12"/>
  <c r="L283" i="12" s="1"/>
  <c r="O283" i="12" s="1"/>
  <c r="P284" i="12"/>
  <c r="O284" i="12"/>
  <c r="N282" i="12"/>
  <c r="N280" i="12" s="1"/>
  <c r="M282" i="12"/>
  <c r="M280" i="12" s="1"/>
  <c r="L282" i="12"/>
  <c r="P281" i="12"/>
  <c r="O281" i="12"/>
  <c r="P278" i="12"/>
  <c r="N278" i="12"/>
  <c r="M278" i="12"/>
  <c r="L278" i="12"/>
  <c r="O278" i="12" s="1"/>
  <c r="J276" i="12"/>
  <c r="I271" i="12"/>
  <c r="K271" i="12" s="1"/>
  <c r="N269" i="12"/>
  <c r="N267" i="12" s="1"/>
  <c r="M269" i="12"/>
  <c r="L269" i="12"/>
  <c r="O269" i="12" s="1"/>
  <c r="P268" i="12"/>
  <c r="O268" i="12"/>
  <c r="N266" i="12"/>
  <c r="N264" i="12" s="1"/>
  <c r="M266" i="12"/>
  <c r="M264" i="12" s="1"/>
  <c r="L266" i="12"/>
  <c r="P265" i="12"/>
  <c r="O265" i="12"/>
  <c r="P262" i="12"/>
  <c r="N262" i="12"/>
  <c r="M262" i="12"/>
  <c r="L262" i="12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36" i="12"/>
  <c r="I236" i="12"/>
  <c r="K236" i="12" s="1"/>
  <c r="J235" i="12"/>
  <c r="I235" i="12"/>
  <c r="K235" i="12" s="1"/>
  <c r="J233" i="12"/>
  <c r="N231" i="12"/>
  <c r="N230" i="12"/>
  <c r="N229" i="12"/>
  <c r="N228" i="12"/>
  <c r="N227" i="12"/>
  <c r="J226" i="12"/>
  <c r="I225" i="12"/>
  <c r="K225" i="12" s="1"/>
  <c r="I224" i="12"/>
  <c r="I216" i="12" s="1"/>
  <c r="K216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I197" i="12" s="1"/>
  <c r="K197" i="12" s="1"/>
  <c r="L202" i="12"/>
  <c r="L201" i="12"/>
  <c r="L200" i="12"/>
  <c r="L199" i="12"/>
  <c r="P198" i="12"/>
  <c r="N198" i="12"/>
  <c r="J197" i="12"/>
  <c r="J194" i="12"/>
  <c r="I193" i="12"/>
  <c r="P191" i="12"/>
  <c r="L191" i="12"/>
  <c r="O191" i="12" s="1"/>
  <c r="J190" i="12"/>
  <c r="N189" i="12"/>
  <c r="N187" i="12" s="1"/>
  <c r="M189" i="12"/>
  <c r="M187" i="12" s="1"/>
  <c r="P187" i="12" s="1"/>
  <c r="L189" i="12"/>
  <c r="P188" i="12"/>
  <c r="O188" i="12"/>
  <c r="N186" i="12"/>
  <c r="M186" i="12"/>
  <c r="M184" i="12" s="1"/>
  <c r="L186" i="12"/>
  <c r="L184" i="12" s="1"/>
  <c r="P185" i="12"/>
  <c r="O185" i="12"/>
  <c r="O182" i="12"/>
  <c r="N182" i="12"/>
  <c r="M182" i="12"/>
  <c r="L182" i="12"/>
  <c r="J180" i="12"/>
  <c r="J177" i="12"/>
  <c r="I176" i="12"/>
  <c r="I174" i="12" s="1"/>
  <c r="J174" i="12"/>
  <c r="N173" i="12"/>
  <c r="N171" i="12" s="1"/>
  <c r="M173" i="12"/>
  <c r="P173" i="12" s="1"/>
  <c r="L173" i="12"/>
  <c r="O173" i="12" s="1"/>
  <c r="P172" i="12"/>
  <c r="O172" i="12"/>
  <c r="N170" i="12"/>
  <c r="M170" i="12"/>
  <c r="M168" i="12" s="1"/>
  <c r="L170" i="12"/>
  <c r="P169" i="12"/>
  <c r="O169" i="12"/>
  <c r="P166" i="12"/>
  <c r="O166" i="12"/>
  <c r="N166" i="12"/>
  <c r="M166" i="12"/>
  <c r="L166" i="12"/>
  <c r="J164" i="12"/>
  <c r="I159" i="12"/>
  <c r="K159" i="12" s="1"/>
  <c r="N157" i="12"/>
  <c r="N155" i="12" s="1"/>
  <c r="M157" i="12"/>
  <c r="P157" i="12" s="1"/>
  <c r="L157" i="12"/>
  <c r="P156" i="12"/>
  <c r="O156" i="12"/>
  <c r="N154" i="12"/>
  <c r="M154" i="12"/>
  <c r="L154" i="12"/>
  <c r="P153" i="12"/>
  <c r="O153" i="12"/>
  <c r="P150" i="12"/>
  <c r="N150" i="12"/>
  <c r="M150" i="12"/>
  <c r="L150" i="12"/>
  <c r="J148" i="12"/>
  <c r="I146" i="12"/>
  <c r="K146" i="12" s="1"/>
  <c r="I145" i="12"/>
  <c r="K145" i="12" s="1"/>
  <c r="I144" i="12"/>
  <c r="N140" i="12"/>
  <c r="M140" i="12"/>
  <c r="L140" i="12"/>
  <c r="P139" i="12"/>
  <c r="O139" i="12"/>
  <c r="N137" i="12"/>
  <c r="N135" i="12" s="1"/>
  <c r="M137" i="12"/>
  <c r="L137" i="12"/>
  <c r="O137" i="12" s="1"/>
  <c r="P136" i="12"/>
  <c r="O136" i="12"/>
  <c r="P133" i="12"/>
  <c r="O133" i="12"/>
  <c r="N133" i="12"/>
  <c r="M133" i="12"/>
  <c r="L133" i="12"/>
  <c r="J130" i="12"/>
  <c r="N127" i="12"/>
  <c r="N125" i="12" s="1"/>
  <c r="M127" i="12"/>
  <c r="P127" i="12" s="1"/>
  <c r="L127" i="12"/>
  <c r="O127" i="12" s="1"/>
  <c r="P126" i="12"/>
  <c r="O126" i="12"/>
  <c r="N124" i="12"/>
  <c r="N122" i="12" s="1"/>
  <c r="M124" i="12"/>
  <c r="P124" i="12" s="1"/>
  <c r="L124" i="12"/>
  <c r="O124" i="12" s="1"/>
  <c r="P123" i="12"/>
  <c r="O123" i="12"/>
  <c r="N120" i="12"/>
  <c r="M120" i="12"/>
  <c r="P120" i="12" s="1"/>
  <c r="L120" i="12"/>
  <c r="O120" i="12" s="1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K100" i="12" s="1"/>
  <c r="J99" i="12"/>
  <c r="I99" i="12"/>
  <c r="I87" i="12" s="1"/>
  <c r="K87" i="12" s="1"/>
  <c r="J98" i="12"/>
  <c r="J86" i="12" s="1"/>
  <c r="I98" i="12"/>
  <c r="I86" i="12" s="1"/>
  <c r="K86" i="12" s="1"/>
  <c r="N96" i="12"/>
  <c r="M96" i="12"/>
  <c r="P96" i="12" s="1"/>
  <c r="L96" i="12"/>
  <c r="P95" i="12"/>
  <c r="O95" i="12"/>
  <c r="N93" i="12"/>
  <c r="N91" i="12" s="1"/>
  <c r="M93" i="12"/>
  <c r="M91" i="12" s="1"/>
  <c r="L93" i="12"/>
  <c r="L91" i="12" s="1"/>
  <c r="P92" i="12"/>
  <c r="O92" i="12"/>
  <c r="P89" i="12"/>
  <c r="O89" i="12"/>
  <c r="N89" i="12"/>
  <c r="M89" i="12"/>
  <c r="L89" i="12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J77" i="12"/>
  <c r="J65" i="12" s="1"/>
  <c r="J76" i="12"/>
  <c r="N74" i="12"/>
  <c r="N72" i="12" s="1"/>
  <c r="M74" i="12"/>
  <c r="P74" i="12" s="1"/>
  <c r="L74" i="12"/>
  <c r="O74" i="12" s="1"/>
  <c r="P73" i="12"/>
  <c r="O73" i="12"/>
  <c r="N71" i="12"/>
  <c r="N69" i="12" s="1"/>
  <c r="M71" i="12"/>
  <c r="L71" i="12"/>
  <c r="L69" i="12" s="1"/>
  <c r="P70" i="12"/>
  <c r="O70" i="12"/>
  <c r="P67" i="12"/>
  <c r="O67" i="12"/>
  <c r="N67" i="12"/>
  <c r="M67" i="12"/>
  <c r="L67" i="12"/>
  <c r="J64" i="12"/>
  <c r="N61" i="12"/>
  <c r="N59" i="12" s="1"/>
  <c r="M61" i="12"/>
  <c r="M59" i="12" s="1"/>
  <c r="L61" i="12"/>
  <c r="L59" i="12" s="1"/>
  <c r="P60" i="12"/>
  <c r="O60" i="12"/>
  <c r="N58" i="12"/>
  <c r="N56" i="12" s="1"/>
  <c r="M58" i="12"/>
  <c r="M56" i="12" s="1"/>
  <c r="L58" i="12"/>
  <c r="L56" i="12" s="1"/>
  <c r="P57" i="12"/>
  <c r="O57" i="12"/>
  <c r="N54" i="12"/>
  <c r="M54" i="12"/>
  <c r="P54" i="12" s="1"/>
  <c r="L54" i="12"/>
  <c r="O54" i="12" s="1"/>
  <c r="N49" i="12"/>
  <c r="N47" i="12" s="1"/>
  <c r="M49" i="12"/>
  <c r="L49" i="12"/>
  <c r="P48" i="12"/>
  <c r="O48" i="12"/>
  <c r="N46" i="12"/>
  <c r="N44" i="12" s="1"/>
  <c r="M46" i="12"/>
  <c r="M44" i="12" s="1"/>
  <c r="L46" i="12"/>
  <c r="P45" i="12"/>
  <c r="O45" i="12"/>
  <c r="P42" i="12"/>
  <c r="O42" i="12"/>
  <c r="N42" i="12"/>
  <c r="M42" i="12"/>
  <c r="L42" i="12"/>
  <c r="N36" i="12"/>
  <c r="N34" i="12" s="1"/>
  <c r="M36" i="12"/>
  <c r="P36" i="12" s="1"/>
  <c r="P35" i="12"/>
  <c r="N35" i="12"/>
  <c r="M35" i="12"/>
  <c r="M34" i="12" s="1"/>
  <c r="P34" i="12" s="1"/>
  <c r="L35" i="12"/>
  <c r="O35" i="12" s="1"/>
  <c r="P33" i="12"/>
  <c r="N33" i="12"/>
  <c r="M33" i="12"/>
  <c r="P32" i="12"/>
  <c r="O32" i="12"/>
  <c r="N32" i="12"/>
  <c r="N29" i="12" s="1"/>
  <c r="N28" i="12" s="1"/>
  <c r="M32" i="12"/>
  <c r="M31" i="12" s="1"/>
  <c r="P31" i="12" s="1"/>
  <c r="L32" i="12"/>
  <c r="N31" i="12"/>
  <c r="N30" i="12"/>
  <c r="M30" i="12"/>
  <c r="P30" i="12" s="1"/>
  <c r="L29" i="12"/>
  <c r="O29" i="12" s="1"/>
  <c r="O25" i="12"/>
  <c r="N25" i="12"/>
  <c r="N15" i="12" s="1"/>
  <c r="M25" i="12"/>
  <c r="M15" i="12" s="1"/>
  <c r="L25" i="12"/>
  <c r="N22" i="12"/>
  <c r="M22" i="12"/>
  <c r="P22" i="12" s="1"/>
  <c r="L22" i="12"/>
  <c r="L15" i="12"/>
  <c r="O15" i="12" s="1"/>
  <c r="N12" i="12"/>
  <c r="N9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O815" i="11"/>
  <c r="N815" i="11"/>
  <c r="M815" i="11"/>
  <c r="L815" i="11"/>
  <c r="P810" i="11"/>
  <c r="O810" i="11"/>
  <c r="N810" i="11"/>
  <c r="P809" i="11"/>
  <c r="O809" i="11"/>
  <c r="N808" i="11"/>
  <c r="M808" i="11"/>
  <c r="P808" i="11" s="1"/>
  <c r="L808" i="11"/>
  <c r="O808" i="11" s="1"/>
  <c r="N807" i="11"/>
  <c r="M807" i="11"/>
  <c r="P807" i="11" s="1"/>
  <c r="L807" i="11"/>
  <c r="O807" i="11" s="1"/>
  <c r="N806" i="11"/>
  <c r="M806" i="11"/>
  <c r="L806" i="11"/>
  <c r="O806" i="11" s="1"/>
  <c r="L805" i="11"/>
  <c r="O805" i="11" s="1"/>
  <c r="K804" i="11"/>
  <c r="J804" i="11"/>
  <c r="K802" i="11"/>
  <c r="J801" i="11"/>
  <c r="J800" i="11"/>
  <c r="J785" i="11" s="1"/>
  <c r="I800" i="11"/>
  <c r="K800" i="11" s="1"/>
  <c r="P798" i="11"/>
  <c r="O798" i="11"/>
  <c r="P797" i="11"/>
  <c r="O797" i="11"/>
  <c r="P796" i="11"/>
  <c r="O796" i="11"/>
  <c r="N796" i="11"/>
  <c r="M796" i="11"/>
  <c r="L796" i="11"/>
  <c r="P791" i="11"/>
  <c r="N791" i="11"/>
  <c r="N789" i="11" s="1"/>
  <c r="L791" i="11"/>
  <c r="L788" i="11" s="1"/>
  <c r="P790" i="11"/>
  <c r="O790" i="11"/>
  <c r="M789" i="11"/>
  <c r="P789" i="11" s="1"/>
  <c r="M788" i="11"/>
  <c r="P788" i="11" s="1"/>
  <c r="N787" i="11"/>
  <c r="M787" i="11"/>
  <c r="L787" i="11"/>
  <c r="O787" i="11" s="1"/>
  <c r="P782" i="11"/>
  <c r="O782" i="11"/>
  <c r="P781" i="11"/>
  <c r="O781" i="11"/>
  <c r="P780" i="11"/>
  <c r="N780" i="11"/>
  <c r="M780" i="11"/>
  <c r="L780" i="11"/>
  <c r="O780" i="11" s="1"/>
  <c r="P775" i="11"/>
  <c r="O775" i="11"/>
  <c r="N775" i="11"/>
  <c r="N773" i="11" s="1"/>
  <c r="P774" i="11"/>
  <c r="O774" i="11"/>
  <c r="P773" i="11"/>
  <c r="O773" i="11"/>
  <c r="M773" i="11"/>
  <c r="L773" i="11"/>
  <c r="O772" i="11"/>
  <c r="M772" i="11"/>
  <c r="P772" i="11" s="1"/>
  <c r="L772" i="11"/>
  <c r="N771" i="11"/>
  <c r="M771" i="11"/>
  <c r="P771" i="11" s="1"/>
  <c r="L771" i="11"/>
  <c r="O771" i="11" s="1"/>
  <c r="M770" i="11"/>
  <c r="P770" i="11" s="1"/>
  <c r="L770" i="11"/>
  <c r="O770" i="11" s="1"/>
  <c r="K769" i="11"/>
  <c r="J769" i="11"/>
  <c r="P766" i="11"/>
  <c r="O766" i="11"/>
  <c r="P765" i="11"/>
  <c r="O765" i="11"/>
  <c r="P764" i="11"/>
  <c r="N764" i="11"/>
  <c r="M764" i="11"/>
  <c r="L764" i="11"/>
  <c r="O764" i="11" s="1"/>
  <c r="P759" i="11"/>
  <c r="O759" i="11"/>
  <c r="N759" i="11"/>
  <c r="N757" i="11" s="1"/>
  <c r="P758" i="11"/>
  <c r="O758" i="11"/>
  <c r="P757" i="11"/>
  <c r="O757" i="11"/>
  <c r="M757" i="11"/>
  <c r="L757" i="11"/>
  <c r="O756" i="11"/>
  <c r="M756" i="11"/>
  <c r="P756" i="11" s="1"/>
  <c r="L756" i="11"/>
  <c r="N755" i="11"/>
  <c r="M755" i="11"/>
  <c r="P755" i="11" s="1"/>
  <c r="L755" i="11"/>
  <c r="O755" i="11" s="1"/>
  <c r="M754" i="11"/>
  <c r="P754" i="11" s="1"/>
  <c r="L754" i="11"/>
  <c r="O754" i="11" s="1"/>
  <c r="K753" i="11"/>
  <c r="J753" i="11"/>
  <c r="P749" i="11"/>
  <c r="O749" i="11"/>
  <c r="P748" i="11"/>
  <c r="O748" i="11"/>
  <c r="P747" i="11"/>
  <c r="N747" i="11"/>
  <c r="M747" i="11"/>
  <c r="L747" i="11"/>
  <c r="O747" i="11" s="1"/>
  <c r="P742" i="11"/>
  <c r="O742" i="11"/>
  <c r="N742" i="11"/>
  <c r="N740" i="11" s="1"/>
  <c r="P741" i="11"/>
  <c r="O741" i="11"/>
  <c r="P740" i="11"/>
  <c r="O740" i="11"/>
  <c r="M740" i="11"/>
  <c r="L740" i="11"/>
  <c r="N739" i="11"/>
  <c r="M739" i="11"/>
  <c r="P739" i="11" s="1"/>
  <c r="L739" i="11"/>
  <c r="O739" i="11" s="1"/>
  <c r="N738" i="11"/>
  <c r="M738" i="11"/>
  <c r="P738" i="11" s="1"/>
  <c r="L738" i="11"/>
  <c r="O738" i="11" s="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P695" i="11"/>
  <c r="O695" i="11"/>
  <c r="N695" i="11"/>
  <c r="M695" i="11"/>
  <c r="L695" i="11"/>
  <c r="P690" i="11"/>
  <c r="N690" i="11"/>
  <c r="L690" i="11"/>
  <c r="O690" i="11" s="1"/>
  <c r="M688" i="11"/>
  <c r="P688" i="11" s="1"/>
  <c r="M687" i="11"/>
  <c r="P687" i="11" s="1"/>
  <c r="P686" i="11"/>
  <c r="N686" i="11"/>
  <c r="M686" i="11"/>
  <c r="L686" i="11"/>
  <c r="J679" i="11"/>
  <c r="J678" i="11"/>
  <c r="I678" i="11"/>
  <c r="K678" i="11" s="1"/>
  <c r="J675" i="11"/>
  <c r="J669" i="11" s="1"/>
  <c r="J654" i="11" s="1"/>
  <c r="I671" i="11"/>
  <c r="K671" i="11" s="1"/>
  <c r="I670" i="11"/>
  <c r="K670" i="11" s="1"/>
  <c r="I669" i="11"/>
  <c r="K674" i="11" s="1"/>
  <c r="P667" i="11"/>
  <c r="O667" i="11"/>
  <c r="P666" i="11"/>
  <c r="O666" i="11"/>
  <c r="N665" i="11"/>
  <c r="M665" i="11"/>
  <c r="P665" i="11" s="1"/>
  <c r="L665" i="11"/>
  <c r="O665" i="11" s="1"/>
  <c r="P660" i="11"/>
  <c r="N660" i="11"/>
  <c r="L660" i="11"/>
  <c r="L658" i="11" s="1"/>
  <c r="O658" i="11" s="1"/>
  <c r="P659" i="11"/>
  <c r="O659" i="11"/>
  <c r="P658" i="11"/>
  <c r="N658" i="11"/>
  <c r="M658" i="11"/>
  <c r="P657" i="11"/>
  <c r="N657" i="11"/>
  <c r="M657" i="11"/>
  <c r="O656" i="11"/>
  <c r="N656" i="11"/>
  <c r="M656" i="11"/>
  <c r="L656" i="11"/>
  <c r="K652" i="11"/>
  <c r="J652" i="11"/>
  <c r="J651" i="11"/>
  <c r="J628" i="11" s="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N639" i="11"/>
  <c r="M639" i="11"/>
  <c r="P639" i="11" s="1"/>
  <c r="N638" i="11"/>
  <c r="N637" i="11"/>
  <c r="P634" i="11"/>
  <c r="N634" i="11"/>
  <c r="N631" i="11" s="1"/>
  <c r="L634" i="11"/>
  <c r="L632" i="11" s="1"/>
  <c r="O632" i="11" s="1"/>
  <c r="P633" i="11"/>
  <c r="O633" i="11"/>
  <c r="P632" i="11"/>
  <c r="N632" i="11"/>
  <c r="M632" i="11"/>
  <c r="M631" i="11"/>
  <c r="P631" i="11" s="1"/>
  <c r="N630" i="11"/>
  <c r="N629" i="11" s="1"/>
  <c r="M630" i="11"/>
  <c r="P630" i="11" s="1"/>
  <c r="L630" i="11"/>
  <c r="M629" i="11"/>
  <c r="P629" i="11" s="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4" i="11" s="1"/>
  <c r="J595" i="11"/>
  <c r="I594" i="11"/>
  <c r="K594" i="11" s="1"/>
  <c r="J593" i="11"/>
  <c r="J592" i="11" s="1"/>
  <c r="I593" i="11"/>
  <c r="I592" i="11" s="1"/>
  <c r="J583" i="11"/>
  <c r="J582" i="11"/>
  <c r="J577" i="11"/>
  <c r="I577" i="11"/>
  <c r="J576" i="11"/>
  <c r="I576" i="1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J559" i="11"/>
  <c r="P557" i="11"/>
  <c r="L557" i="11"/>
  <c r="P556" i="11"/>
  <c r="O556" i="11"/>
  <c r="N555" i="11"/>
  <c r="N545" i="11" s="1"/>
  <c r="M555" i="11"/>
  <c r="N553" i="11"/>
  <c r="N549" i="11" s="1"/>
  <c r="N546" i="11" s="1"/>
  <c r="N552" i="11"/>
  <c r="P549" i="11"/>
  <c r="L549" i="11"/>
  <c r="P548" i="11"/>
  <c r="O548" i="11"/>
  <c r="N547" i="11"/>
  <c r="M547" i="11"/>
  <c r="P547" i="11" s="1"/>
  <c r="M546" i="11"/>
  <c r="P546" i="11" s="1"/>
  <c r="L545" i="11"/>
  <c r="O545" i="11" s="1"/>
  <c r="J543" i="11"/>
  <c r="I542" i="11"/>
  <c r="K542" i="11" s="1"/>
  <c r="I541" i="11"/>
  <c r="I540" i="11"/>
  <c r="K540" i="11" s="1"/>
  <c r="I539" i="11"/>
  <c r="K539" i="11" s="1"/>
  <c r="I538" i="11"/>
  <c r="K538" i="11" s="1"/>
  <c r="I537" i="11"/>
  <c r="I522" i="11" s="1"/>
  <c r="K522" i="11" s="1"/>
  <c r="P535" i="11"/>
  <c r="L535" i="11"/>
  <c r="P534" i="11"/>
  <c r="O534" i="11"/>
  <c r="N533" i="11"/>
  <c r="M533" i="11"/>
  <c r="P533" i="11" s="1"/>
  <c r="P528" i="11"/>
  <c r="N528" i="11"/>
  <c r="N525" i="11" s="1"/>
  <c r="L528" i="11"/>
  <c r="P527" i="11"/>
  <c r="O527" i="11"/>
  <c r="N526" i="11"/>
  <c r="M526" i="11"/>
  <c r="P526" i="11" s="1"/>
  <c r="P525" i="11"/>
  <c r="M525" i="11"/>
  <c r="P524" i="11"/>
  <c r="O524" i="11"/>
  <c r="N524" i="11"/>
  <c r="N523" i="11" s="1"/>
  <c r="M524" i="11"/>
  <c r="L524" i="11"/>
  <c r="M523" i="11"/>
  <c r="P523" i="11" s="1"/>
  <c r="K517" i="11"/>
  <c r="J517" i="11"/>
  <c r="J501" i="11" s="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P505" i="11"/>
  <c r="O505" i="11"/>
  <c r="N505" i="11"/>
  <c r="M505" i="11"/>
  <c r="L505" i="11"/>
  <c r="P504" i="11"/>
  <c r="O504" i="11"/>
  <c r="N504" i="11"/>
  <c r="M504" i="11"/>
  <c r="L504" i="11"/>
  <c r="N503" i="11"/>
  <c r="M503" i="11"/>
  <c r="P503" i="11" s="1"/>
  <c r="L503" i="11"/>
  <c r="L502" i="11" s="1"/>
  <c r="O502" i="11" s="1"/>
  <c r="M502" i="11"/>
  <c r="P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6" i="11"/>
  <c r="N473" i="11"/>
  <c r="P472" i="11"/>
  <c r="L472" i="11"/>
  <c r="L470" i="11" s="1"/>
  <c r="P471" i="11"/>
  <c r="O471" i="11"/>
  <c r="P470" i="11"/>
  <c r="M470" i="11"/>
  <c r="P469" i="11"/>
  <c r="M469" i="11"/>
  <c r="P468" i="11"/>
  <c r="O468" i="11"/>
  <c r="N468" i="11"/>
  <c r="M468" i="11"/>
  <c r="L468" i="11"/>
  <c r="P467" i="11"/>
  <c r="M467" i="11"/>
  <c r="J466" i="11"/>
  <c r="I466" i="11"/>
  <c r="J465" i="11"/>
  <c r="I465" i="11"/>
  <c r="K465" i="11" s="1"/>
  <c r="I464" i="11"/>
  <c r="I463" i="11"/>
  <c r="I462" i="11"/>
  <c r="I460" i="11"/>
  <c r="K460" i="11" s="1"/>
  <c r="K458" i="11"/>
  <c r="P456" i="11"/>
  <c r="L456" i="11"/>
  <c r="P455" i="11"/>
  <c r="O455" i="11"/>
  <c r="N454" i="11"/>
  <c r="M454" i="11"/>
  <c r="P454" i="11" s="1"/>
  <c r="N453" i="11"/>
  <c r="N452" i="11"/>
  <c r="N450" i="11"/>
  <c r="P449" i="11"/>
  <c r="N449" i="11"/>
  <c r="L449" i="11"/>
  <c r="L447" i="11" s="1"/>
  <c r="O447" i="11" s="1"/>
  <c r="P448" i="11"/>
  <c r="O448" i="11"/>
  <c r="P447" i="11"/>
  <c r="N447" i="11"/>
  <c r="M447" i="11"/>
  <c r="N446" i="11"/>
  <c r="M446" i="11"/>
  <c r="P446" i="11" s="1"/>
  <c r="N445" i="11"/>
  <c r="N444" i="11" s="1"/>
  <c r="M445" i="11"/>
  <c r="P445" i="11" s="1"/>
  <c r="L445" i="11"/>
  <c r="M444" i="11"/>
  <c r="P444" i="11" s="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K435" i="11" s="1"/>
  <c r="J434" i="11"/>
  <c r="P431" i="11"/>
  <c r="L431" i="11"/>
  <c r="O431" i="11" s="1"/>
  <c r="P430" i="11"/>
  <c r="O430" i="11"/>
  <c r="P429" i="11"/>
  <c r="N429" i="11"/>
  <c r="M429" i="11"/>
  <c r="P424" i="11"/>
  <c r="N424" i="11"/>
  <c r="L424" i="11"/>
  <c r="L422" i="11" s="1"/>
  <c r="P423" i="11"/>
  <c r="O423" i="11"/>
  <c r="P422" i="11"/>
  <c r="N422" i="11"/>
  <c r="M422" i="11"/>
  <c r="P421" i="11"/>
  <c r="M421" i="11"/>
  <c r="O420" i="11"/>
  <c r="N420" i="11"/>
  <c r="M420" i="11"/>
  <c r="P420" i="11" s="1"/>
  <c r="L420" i="11"/>
  <c r="M419" i="11"/>
  <c r="J418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M407" i="11"/>
  <c r="P407" i="11" s="1"/>
  <c r="L407" i="11"/>
  <c r="O407" i="11" s="1"/>
  <c r="P406" i="11"/>
  <c r="O406" i="11"/>
  <c r="N403" i="11"/>
  <c r="M403" i="11"/>
  <c r="L403" i="11"/>
  <c r="K401" i="11"/>
  <c r="J401" i="11"/>
  <c r="I401" i="11"/>
  <c r="K400" i="11"/>
  <c r="K399" i="11"/>
  <c r="N397" i="11"/>
  <c r="N395" i="11" s="1"/>
  <c r="M397" i="11"/>
  <c r="L397" i="11"/>
  <c r="P396" i="11"/>
  <c r="O396" i="11"/>
  <c r="N394" i="11"/>
  <c r="M394" i="11"/>
  <c r="L394" i="11"/>
  <c r="P393" i="11"/>
  <c r="O393" i="11"/>
  <c r="O390" i="11"/>
  <c r="N390" i="11"/>
  <c r="M390" i="11"/>
  <c r="P390" i="11" s="1"/>
  <c r="L390" i="1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M353" i="11"/>
  <c r="L353" i="11"/>
  <c r="L351" i="11" s="1"/>
  <c r="P352" i="11"/>
  <c r="O352" i="11"/>
  <c r="N350" i="11"/>
  <c r="N348" i="11" s="1"/>
  <c r="M350" i="11"/>
  <c r="L350" i="11"/>
  <c r="P349" i="11"/>
  <c r="O349" i="11"/>
  <c r="N346" i="11"/>
  <c r="M346" i="11"/>
  <c r="P346" i="11" s="1"/>
  <c r="L346" i="11"/>
  <c r="O346" i="11" s="1"/>
  <c r="J343" i="11"/>
  <c r="J342" i="11"/>
  <c r="J341" i="11"/>
  <c r="J340" i="11"/>
  <c r="I340" i="11"/>
  <c r="J338" i="11"/>
  <c r="I338" i="11"/>
  <c r="N336" i="11"/>
  <c r="N334" i="11" s="1"/>
  <c r="M336" i="11"/>
  <c r="L336" i="11"/>
  <c r="O336" i="11" s="1"/>
  <c r="P335" i="11"/>
  <c r="O335" i="11"/>
  <c r="N333" i="11"/>
  <c r="N331" i="11" s="1"/>
  <c r="M333" i="11"/>
  <c r="L333" i="11"/>
  <c r="L331" i="11" s="1"/>
  <c r="P332" i="11"/>
  <c r="O332" i="11"/>
  <c r="O329" i="11"/>
  <c r="N329" i="11"/>
  <c r="M329" i="11"/>
  <c r="P329" i="11" s="1"/>
  <c r="L329" i="11"/>
  <c r="I327" i="11"/>
  <c r="I325" i="11"/>
  <c r="N323" i="11"/>
  <c r="N321" i="11" s="1"/>
  <c r="M323" i="11"/>
  <c r="P323" i="11" s="1"/>
  <c r="L323" i="11"/>
  <c r="O323" i="11" s="1"/>
  <c r="P322" i="11"/>
  <c r="O322" i="11"/>
  <c r="N320" i="11"/>
  <c r="M320" i="11"/>
  <c r="L320" i="11"/>
  <c r="O320" i="11" s="1"/>
  <c r="P319" i="11"/>
  <c r="O319" i="11"/>
  <c r="P316" i="11"/>
  <c r="O316" i="11"/>
  <c r="N316" i="11"/>
  <c r="M316" i="11"/>
  <c r="L316" i="1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P306" i="11" s="1"/>
  <c r="L306" i="11"/>
  <c r="O306" i="11" s="1"/>
  <c r="P305" i="11"/>
  <c r="O305" i="11"/>
  <c r="N303" i="11"/>
  <c r="M303" i="11"/>
  <c r="M301" i="11" s="1"/>
  <c r="L303" i="11"/>
  <c r="L301" i="11" s="1"/>
  <c r="P302" i="11"/>
  <c r="O302" i="11"/>
  <c r="N299" i="11"/>
  <c r="M299" i="11"/>
  <c r="P299" i="11" s="1"/>
  <c r="L299" i="11"/>
  <c r="O299" i="11" s="1"/>
  <c r="J297" i="11"/>
  <c r="I294" i="11"/>
  <c r="K294" i="11" s="1"/>
  <c r="I293" i="11"/>
  <c r="K293" i="11" s="1"/>
  <c r="I291" i="11"/>
  <c r="K291" i="11" s="1"/>
  <c r="I290" i="11"/>
  <c r="K290" i="11" s="1"/>
  <c r="I288" i="11"/>
  <c r="J288" i="11" s="1"/>
  <c r="J275" i="11" s="1"/>
  <c r="I287" i="11"/>
  <c r="K287" i="11" s="1"/>
  <c r="N285" i="11"/>
  <c r="N283" i="11" s="1"/>
  <c r="M285" i="11"/>
  <c r="P285" i="11" s="1"/>
  <c r="L285" i="11"/>
  <c r="L283" i="11" s="1"/>
  <c r="O283" i="11" s="1"/>
  <c r="P284" i="11"/>
  <c r="O284" i="11"/>
  <c r="N282" i="11"/>
  <c r="M282" i="11"/>
  <c r="M280" i="11" s="1"/>
  <c r="L282" i="11"/>
  <c r="L280" i="11" s="1"/>
  <c r="P281" i="11"/>
  <c r="O281" i="11"/>
  <c r="O278" i="11"/>
  <c r="N278" i="11"/>
  <c r="M278" i="11"/>
  <c r="P278" i="11" s="1"/>
  <c r="L278" i="11"/>
  <c r="J276" i="11"/>
  <c r="I271" i="11"/>
  <c r="K271" i="11" s="1"/>
  <c r="N269" i="11"/>
  <c r="N267" i="11" s="1"/>
  <c r="M269" i="11"/>
  <c r="L269" i="11"/>
  <c r="P268" i="11"/>
  <c r="O268" i="11"/>
  <c r="N266" i="11"/>
  <c r="M266" i="11"/>
  <c r="M264" i="11" s="1"/>
  <c r="L266" i="11"/>
  <c r="L264" i="11" s="1"/>
  <c r="P265" i="11"/>
  <c r="O265" i="11"/>
  <c r="P262" i="11"/>
  <c r="O262" i="11"/>
  <c r="N262" i="11"/>
  <c r="M262" i="11"/>
  <c r="L262" i="1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L242" i="11"/>
  <c r="L241" i="11"/>
  <c r="L240" i="11"/>
  <c r="L239" i="11"/>
  <c r="P238" i="11"/>
  <c r="N238" i="11"/>
  <c r="N227" i="11" s="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J226" i="11"/>
  <c r="J180" i="11" s="1"/>
  <c r="I225" i="11"/>
  <c r="K225" i="11" s="1"/>
  <c r="I224" i="11"/>
  <c r="I223" i="11"/>
  <c r="K223" i="11" s="1"/>
  <c r="L220" i="11"/>
  <c r="L219" i="11"/>
  <c r="L218" i="11"/>
  <c r="P217" i="11"/>
  <c r="N217" i="11"/>
  <c r="J216" i="11"/>
  <c r="I215" i="11"/>
  <c r="I214" i="11"/>
  <c r="K214" i="11" s="1"/>
  <c r="L212" i="11"/>
  <c r="L211" i="11"/>
  <c r="L210" i="11"/>
  <c r="P209" i="11"/>
  <c r="N209" i="11"/>
  <c r="J208" i="11"/>
  <c r="K207" i="11"/>
  <c r="K206" i="11"/>
  <c r="I204" i="11"/>
  <c r="I197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N187" i="11" s="1"/>
  <c r="M189" i="11"/>
  <c r="L189" i="11"/>
  <c r="L187" i="11" s="1"/>
  <c r="O187" i="11" s="1"/>
  <c r="P188" i="11"/>
  <c r="O188" i="11"/>
  <c r="N186" i="11"/>
  <c r="N184" i="11" s="1"/>
  <c r="M186" i="11"/>
  <c r="L186" i="11"/>
  <c r="L184" i="11" s="1"/>
  <c r="P185" i="11"/>
  <c r="O185" i="11"/>
  <c r="N182" i="11"/>
  <c r="M182" i="11"/>
  <c r="L182" i="11"/>
  <c r="O182" i="11" s="1"/>
  <c r="J177" i="11"/>
  <c r="I176" i="11"/>
  <c r="K176" i="11" s="1"/>
  <c r="J174" i="11"/>
  <c r="N173" i="11"/>
  <c r="N171" i="11" s="1"/>
  <c r="M173" i="11"/>
  <c r="P173" i="11" s="1"/>
  <c r="L173" i="11"/>
  <c r="L171" i="11" s="1"/>
  <c r="O171" i="11" s="1"/>
  <c r="P172" i="11"/>
  <c r="O172" i="11"/>
  <c r="N170" i="11"/>
  <c r="N168" i="11" s="1"/>
  <c r="M170" i="11"/>
  <c r="L170" i="11"/>
  <c r="L168" i="11" s="1"/>
  <c r="P169" i="11"/>
  <c r="O169" i="11"/>
  <c r="P166" i="11"/>
  <c r="N166" i="11"/>
  <c r="M166" i="11"/>
  <c r="L166" i="11"/>
  <c r="O166" i="11" s="1"/>
  <c r="J164" i="11"/>
  <c r="I159" i="11"/>
  <c r="K159" i="11" s="1"/>
  <c r="N157" i="11"/>
  <c r="N155" i="11" s="1"/>
  <c r="M157" i="11"/>
  <c r="L157" i="11"/>
  <c r="P156" i="11"/>
  <c r="O156" i="11"/>
  <c r="N154" i="11"/>
  <c r="N152" i="11" s="1"/>
  <c r="M154" i="11"/>
  <c r="M152" i="11" s="1"/>
  <c r="L154" i="11"/>
  <c r="O154" i="11" s="1"/>
  <c r="P153" i="11"/>
  <c r="O153" i="11"/>
  <c r="O150" i="11"/>
  <c r="N150" i="11"/>
  <c r="M150" i="11"/>
  <c r="P150" i="11" s="1"/>
  <c r="L150" i="11"/>
  <c r="J148" i="11"/>
  <c r="I146" i="11"/>
  <c r="I130" i="11" s="1"/>
  <c r="K130" i="11" s="1"/>
  <c r="I145" i="11"/>
  <c r="K145" i="11" s="1"/>
  <c r="I144" i="11"/>
  <c r="K144" i="11" s="1"/>
  <c r="N140" i="11"/>
  <c r="N138" i="11" s="1"/>
  <c r="M140" i="11"/>
  <c r="L140" i="11"/>
  <c r="L138" i="11" s="1"/>
  <c r="P139" i="11"/>
  <c r="O139" i="11"/>
  <c r="N137" i="11"/>
  <c r="M137" i="11"/>
  <c r="M135" i="11" s="1"/>
  <c r="L137" i="11"/>
  <c r="L135" i="11" s="1"/>
  <c r="P136" i="11"/>
  <c r="O136" i="11"/>
  <c r="O133" i="11"/>
  <c r="N133" i="11"/>
  <c r="M133" i="11"/>
  <c r="P133" i="11" s="1"/>
  <c r="L133" i="11"/>
  <c r="J130" i="11"/>
  <c r="N127" i="11"/>
  <c r="N125" i="11" s="1"/>
  <c r="M127" i="11"/>
  <c r="M125" i="11" s="1"/>
  <c r="L127" i="11"/>
  <c r="L125" i="11" s="1"/>
  <c r="P126" i="11"/>
  <c r="O126" i="11"/>
  <c r="N124" i="11"/>
  <c r="N122" i="11" s="1"/>
  <c r="M124" i="11"/>
  <c r="L124" i="11"/>
  <c r="L122" i="11" s="1"/>
  <c r="O122" i="11" s="1"/>
  <c r="P123" i="11"/>
  <c r="O123" i="11"/>
  <c r="P120" i="11"/>
  <c r="O120" i="11"/>
  <c r="N120" i="11"/>
  <c r="M120" i="11"/>
  <c r="L120" i="11"/>
  <c r="J118" i="11"/>
  <c r="K118" i="11" s="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K111" i="11" s="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K99" i="11" s="1"/>
  <c r="J98" i="11"/>
  <c r="I98" i="11"/>
  <c r="I86" i="11" s="1"/>
  <c r="K86" i="11" s="1"/>
  <c r="N96" i="11"/>
  <c r="N94" i="11" s="1"/>
  <c r="M96" i="11"/>
  <c r="P96" i="11" s="1"/>
  <c r="L96" i="11"/>
  <c r="P95" i="11"/>
  <c r="O95" i="11"/>
  <c r="N93" i="11"/>
  <c r="M93" i="11"/>
  <c r="L93" i="11"/>
  <c r="L91" i="11" s="1"/>
  <c r="P92" i="11"/>
  <c r="O92" i="11"/>
  <c r="P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J77" i="11"/>
  <c r="J76" i="11"/>
  <c r="N74" i="11"/>
  <c r="N72" i="11" s="1"/>
  <c r="M74" i="11"/>
  <c r="P74" i="11" s="1"/>
  <c r="L74" i="11"/>
  <c r="L72" i="11" s="1"/>
  <c r="O72" i="11" s="1"/>
  <c r="P73" i="11"/>
  <c r="O73" i="11"/>
  <c r="N71" i="11"/>
  <c r="M71" i="11"/>
  <c r="L71" i="11"/>
  <c r="L69" i="11" s="1"/>
  <c r="P70" i="11"/>
  <c r="O70" i="11"/>
  <c r="O67" i="11"/>
  <c r="N67" i="11"/>
  <c r="M67" i="11"/>
  <c r="P67" i="11" s="1"/>
  <c r="L67" i="11"/>
  <c r="J65" i="11"/>
  <c r="J64" i="11"/>
  <c r="N61" i="11"/>
  <c r="N59" i="11" s="1"/>
  <c r="M61" i="11"/>
  <c r="M59" i="11" s="1"/>
  <c r="L61" i="11"/>
  <c r="L59" i="11" s="1"/>
  <c r="P60" i="11"/>
  <c r="O60" i="11"/>
  <c r="N58" i="11"/>
  <c r="N56" i="11" s="1"/>
  <c r="M58" i="11"/>
  <c r="M56" i="11" s="1"/>
  <c r="L58" i="11"/>
  <c r="L56" i="11" s="1"/>
  <c r="P57" i="11"/>
  <c r="O57" i="11"/>
  <c r="N54" i="11"/>
  <c r="M54" i="11"/>
  <c r="P54" i="11" s="1"/>
  <c r="L54" i="11"/>
  <c r="O54" i="11" s="1"/>
  <c r="N49" i="11"/>
  <c r="N47" i="11" s="1"/>
  <c r="M49" i="11"/>
  <c r="P49" i="11" s="1"/>
  <c r="L49" i="11"/>
  <c r="O49" i="11" s="1"/>
  <c r="P48" i="11"/>
  <c r="O48" i="11"/>
  <c r="N46" i="11"/>
  <c r="N44" i="11" s="1"/>
  <c r="M46" i="11"/>
  <c r="L46" i="11"/>
  <c r="P45" i="11"/>
  <c r="O45" i="11"/>
  <c r="P42" i="11"/>
  <c r="O42" i="11"/>
  <c r="N42" i="11"/>
  <c r="M42" i="11"/>
  <c r="L42" i="11"/>
  <c r="P36" i="11"/>
  <c r="N36" i="11"/>
  <c r="N34" i="11" s="1"/>
  <c r="M36" i="11"/>
  <c r="P35" i="11"/>
  <c r="O35" i="11"/>
  <c r="N35" i="11"/>
  <c r="M35" i="11"/>
  <c r="M34" i="11" s="1"/>
  <c r="L35" i="11"/>
  <c r="P34" i="11"/>
  <c r="M33" i="11"/>
  <c r="M30" i="11" s="1"/>
  <c r="P30" i="11" s="1"/>
  <c r="N32" i="11"/>
  <c r="N29" i="11" s="1"/>
  <c r="M32" i="11"/>
  <c r="M12" i="11" s="1"/>
  <c r="L32" i="11"/>
  <c r="O32" i="11" s="1"/>
  <c r="M29" i="11"/>
  <c r="L29" i="11"/>
  <c r="O29" i="11" s="1"/>
  <c r="O25" i="11"/>
  <c r="N25" i="11"/>
  <c r="N15" i="11" s="1"/>
  <c r="M25" i="11"/>
  <c r="P25" i="11" s="1"/>
  <c r="L25" i="11"/>
  <c r="P22" i="11"/>
  <c r="N22" i="11"/>
  <c r="M22" i="11"/>
  <c r="L22" i="11"/>
  <c r="O22" i="11" s="1"/>
  <c r="N19" i="11"/>
  <c r="M19" i="11"/>
  <c r="P19" i="11" s="1"/>
  <c r="L15" i="11"/>
  <c r="O15" i="11" s="1"/>
  <c r="N12" i="11"/>
  <c r="N9" i="11" s="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P809" i="10"/>
  <c r="O809" i="10"/>
  <c r="O808" i="10"/>
  <c r="N808" i="10"/>
  <c r="M808" i="10"/>
  <c r="P808" i="10" s="1"/>
  <c r="L808" i="10"/>
  <c r="N807" i="10"/>
  <c r="M807" i="10"/>
  <c r="P807" i="10" s="1"/>
  <c r="L807" i="10"/>
  <c r="O807" i="10" s="1"/>
  <c r="N806" i="10"/>
  <c r="N805" i="10" s="1"/>
  <c r="M806" i="10"/>
  <c r="P806" i="10" s="1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P796" i="10"/>
  <c r="O796" i="10"/>
  <c r="N796" i="10"/>
  <c r="M796" i="10"/>
  <c r="L796" i="10"/>
  <c r="P791" i="10"/>
  <c r="N791" i="10"/>
  <c r="N788" i="10" s="1"/>
  <c r="L791" i="10"/>
  <c r="L789" i="10" s="1"/>
  <c r="O789" i="10" s="1"/>
  <c r="P790" i="10"/>
  <c r="O790" i="10"/>
  <c r="N789" i="10"/>
  <c r="M789" i="10"/>
  <c r="P789" i="10" s="1"/>
  <c r="M788" i="10"/>
  <c r="P788" i="10" s="1"/>
  <c r="N787" i="10"/>
  <c r="M787" i="10"/>
  <c r="P787" i="10" s="1"/>
  <c r="L787" i="10"/>
  <c r="P782" i="10"/>
  <c r="O782" i="10"/>
  <c r="P781" i="10"/>
  <c r="O781" i="10"/>
  <c r="P780" i="10"/>
  <c r="N780" i="10"/>
  <c r="M780" i="10"/>
  <c r="L780" i="10"/>
  <c r="O780" i="10" s="1"/>
  <c r="P775" i="10"/>
  <c r="O775" i="10"/>
  <c r="N775" i="10"/>
  <c r="P774" i="10"/>
  <c r="O774" i="10"/>
  <c r="P773" i="10"/>
  <c r="O773" i="10"/>
  <c r="N773" i="10"/>
  <c r="M773" i="10"/>
  <c r="L773" i="10"/>
  <c r="O772" i="10"/>
  <c r="N772" i="10"/>
  <c r="M772" i="10"/>
  <c r="P772" i="10" s="1"/>
  <c r="L772" i="10"/>
  <c r="N771" i="10"/>
  <c r="N770" i="10" s="1"/>
  <c r="M771" i="10"/>
  <c r="L771" i="10"/>
  <c r="O771" i="10" s="1"/>
  <c r="L770" i="10"/>
  <c r="O770" i="10" s="1"/>
  <c r="K769" i="10"/>
  <c r="J769" i="10"/>
  <c r="P766" i="10"/>
  <c r="O766" i="10"/>
  <c r="P765" i="10"/>
  <c r="O765" i="10"/>
  <c r="P764" i="10"/>
  <c r="N764" i="10"/>
  <c r="M764" i="10"/>
  <c r="L764" i="10"/>
  <c r="O764" i="10" s="1"/>
  <c r="P759" i="10"/>
  <c r="O759" i="10"/>
  <c r="N759" i="10"/>
  <c r="P758" i="10"/>
  <c r="O758" i="10"/>
  <c r="P757" i="10"/>
  <c r="O757" i="10"/>
  <c r="N757" i="10"/>
  <c r="M757" i="10"/>
  <c r="L757" i="10"/>
  <c r="O756" i="10"/>
  <c r="N756" i="10"/>
  <c r="M756" i="10"/>
  <c r="P756" i="10" s="1"/>
  <c r="L756" i="10"/>
  <c r="N755" i="10"/>
  <c r="N754" i="10" s="1"/>
  <c r="M755" i="10"/>
  <c r="L755" i="10"/>
  <c r="O755" i="10" s="1"/>
  <c r="L754" i="10"/>
  <c r="O754" i="10" s="1"/>
  <c r="K753" i="10"/>
  <c r="J753" i="10"/>
  <c r="P749" i="10"/>
  <c r="O749" i="10"/>
  <c r="P748" i="10"/>
  <c r="O748" i="10"/>
  <c r="P747" i="10"/>
  <c r="N747" i="10"/>
  <c r="M747" i="10"/>
  <c r="L747" i="10"/>
  <c r="O747" i="10" s="1"/>
  <c r="P742" i="10"/>
  <c r="O742" i="10"/>
  <c r="N742" i="10"/>
  <c r="P741" i="10"/>
  <c r="O741" i="10"/>
  <c r="P740" i="10"/>
  <c r="O740" i="10"/>
  <c r="N740" i="10"/>
  <c r="M740" i="10"/>
  <c r="L740" i="10"/>
  <c r="O739" i="10"/>
  <c r="N739" i="10"/>
  <c r="M739" i="10"/>
  <c r="P739" i="10" s="1"/>
  <c r="L739" i="10"/>
  <c r="N738" i="10"/>
  <c r="N737" i="10" s="1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N695" i="10"/>
  <c r="M695" i="10"/>
  <c r="L695" i="10"/>
  <c r="O695" i="10" s="1"/>
  <c r="P690" i="10"/>
  <c r="N690" i="10"/>
  <c r="L690" i="10"/>
  <c r="L687" i="10" s="1"/>
  <c r="N688" i="10"/>
  <c r="M688" i="10"/>
  <c r="P688" i="10" s="1"/>
  <c r="N687" i="10"/>
  <c r="M687" i="10"/>
  <c r="P687" i="10" s="1"/>
  <c r="N686" i="10"/>
  <c r="M686" i="10"/>
  <c r="L686" i="10"/>
  <c r="O686" i="10" s="1"/>
  <c r="J679" i="10"/>
  <c r="J678" i="10" s="1"/>
  <c r="I678" i="10"/>
  <c r="K678" i="10" s="1"/>
  <c r="J675" i="10"/>
  <c r="J669" i="10" s="1"/>
  <c r="J654" i="10" s="1"/>
  <c r="I671" i="10"/>
  <c r="K671" i="10" s="1"/>
  <c r="I670" i="10"/>
  <c r="K670" i="10" s="1"/>
  <c r="I669" i="10"/>
  <c r="K672" i="10" s="1"/>
  <c r="P667" i="10"/>
  <c r="O667" i="10"/>
  <c r="P666" i="10"/>
  <c r="O666" i="10"/>
  <c r="N665" i="10"/>
  <c r="M665" i="10"/>
  <c r="P665" i="10" s="1"/>
  <c r="L665" i="10"/>
  <c r="O665" i="10" s="1"/>
  <c r="P660" i="10"/>
  <c r="N660" i="10"/>
  <c r="N657" i="10" s="1"/>
  <c r="N655" i="10" s="1"/>
  <c r="L660" i="10"/>
  <c r="P659" i="10"/>
  <c r="O659" i="10"/>
  <c r="N658" i="10"/>
  <c r="M658" i="10"/>
  <c r="P658" i="10" s="1"/>
  <c r="P657" i="10"/>
  <c r="M657" i="10"/>
  <c r="P656" i="10"/>
  <c r="O656" i="10"/>
  <c r="N656" i="10"/>
  <c r="M656" i="10"/>
  <c r="L656" i="10"/>
  <c r="P655" i="10"/>
  <c r="M655" i="10"/>
  <c r="K652" i="10"/>
  <c r="J652" i="10"/>
  <c r="J651" i="10"/>
  <c r="J628" i="10" s="1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L639" i="10" s="1"/>
  <c r="O639" i="10" s="1"/>
  <c r="P640" i="10"/>
  <c r="O640" i="10"/>
  <c r="P639" i="10"/>
  <c r="N639" i="10"/>
  <c r="M639" i="10"/>
  <c r="P634" i="10"/>
  <c r="N634" i="10"/>
  <c r="L634" i="10"/>
  <c r="P633" i="10"/>
  <c r="O633" i="10"/>
  <c r="M632" i="10"/>
  <c r="P632" i="10" s="1"/>
  <c r="M631" i="10"/>
  <c r="P631" i="10" s="1"/>
  <c r="N630" i="10"/>
  <c r="M630" i="10"/>
  <c r="P630" i="10" s="1"/>
  <c r="L630" i="10"/>
  <c r="J621" i="10"/>
  <c r="I621" i="10"/>
  <c r="K621" i="10" s="1"/>
  <c r="J620" i="10"/>
  <c r="I620" i="10"/>
  <c r="K613" i="10"/>
  <c r="J613" i="10"/>
  <c r="K612" i="10"/>
  <c r="J612" i="10"/>
  <c r="K611" i="10"/>
  <c r="J611" i="10"/>
  <c r="J604" i="10"/>
  <c r="J603" i="10"/>
  <c r="J596" i="10"/>
  <c r="J594" i="10" s="1"/>
  <c r="J595" i="10"/>
  <c r="J593" i="10" s="1"/>
  <c r="J592" i="10" s="1"/>
  <c r="I594" i="10"/>
  <c r="K594" i="10" s="1"/>
  <c r="I593" i="10"/>
  <c r="J583" i="10"/>
  <c r="J582" i="10"/>
  <c r="J576" i="10" s="1"/>
  <c r="J577" i="10"/>
  <c r="I577" i="10"/>
  <c r="K577" i="10" s="1"/>
  <c r="I576" i="10"/>
  <c r="K576" i="10" s="1"/>
  <c r="J569" i="10"/>
  <c r="I569" i="10"/>
  <c r="K569" i="10" s="1"/>
  <c r="J568" i="10"/>
  <c r="I568" i="10"/>
  <c r="K568" i="10" s="1"/>
  <c r="J561" i="10"/>
  <c r="I561" i="10"/>
  <c r="K561" i="10" s="1"/>
  <c r="J560" i="10"/>
  <c r="I560" i="10"/>
  <c r="K560" i="10" s="1"/>
  <c r="J559" i="10"/>
  <c r="J543" i="10" s="1"/>
  <c r="P557" i="10"/>
  <c r="L557" i="10"/>
  <c r="O557" i="10" s="1"/>
  <c r="P556" i="10"/>
  <c r="O556" i="10"/>
  <c r="N555" i="10"/>
  <c r="M555" i="10"/>
  <c r="P555" i="10" s="1"/>
  <c r="P549" i="10"/>
  <c r="N549" i="10"/>
  <c r="L549" i="10"/>
  <c r="O549" i="10" s="1"/>
  <c r="P548" i="10"/>
  <c r="O548" i="10"/>
  <c r="P547" i="10"/>
  <c r="N547" i="10"/>
  <c r="M547" i="10"/>
  <c r="P546" i="10"/>
  <c r="N546" i="10"/>
  <c r="M546" i="10"/>
  <c r="O545" i="10"/>
  <c r="N545" i="10"/>
  <c r="M545" i="10"/>
  <c r="P545" i="10" s="1"/>
  <c r="L545" i="10"/>
  <c r="N544" i="10"/>
  <c r="M544" i="10"/>
  <c r="P544" i="10" s="1"/>
  <c r="I542" i="10"/>
  <c r="K542" i="10" s="1"/>
  <c r="I541" i="10"/>
  <c r="K541" i="10" s="1"/>
  <c r="I540" i="10"/>
  <c r="K540" i="10" s="1"/>
  <c r="I539" i="10"/>
  <c r="I538" i="10"/>
  <c r="K538" i="10" s="1"/>
  <c r="I537" i="10"/>
  <c r="P535" i="10"/>
  <c r="L535" i="10"/>
  <c r="L533" i="10" s="1"/>
  <c r="O533" i="10" s="1"/>
  <c r="P534" i="10"/>
  <c r="O534" i="10"/>
  <c r="P533" i="10"/>
  <c r="N533" i="10"/>
  <c r="M533" i="10"/>
  <c r="P528" i="10"/>
  <c r="N528" i="10"/>
  <c r="L528" i="10"/>
  <c r="L526" i="10" s="1"/>
  <c r="O526" i="10" s="1"/>
  <c r="P527" i="10"/>
  <c r="O527" i="10"/>
  <c r="M526" i="10"/>
  <c r="P526" i="10" s="1"/>
  <c r="M525" i="10"/>
  <c r="P525" i="10" s="1"/>
  <c r="N524" i="10"/>
  <c r="M524" i="10"/>
  <c r="L524" i="10"/>
  <c r="K517" i="10"/>
  <c r="J517" i="10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P506" i="10"/>
  <c r="O506" i="10"/>
  <c r="M505" i="10"/>
  <c r="P505" i="10" s="1"/>
  <c r="L505" i="10"/>
  <c r="O505" i="10" s="1"/>
  <c r="M504" i="10"/>
  <c r="P504" i="10" s="1"/>
  <c r="L504" i="10"/>
  <c r="O504" i="10" s="1"/>
  <c r="P503" i="10"/>
  <c r="N503" i="10"/>
  <c r="M503" i="10"/>
  <c r="L503" i="10"/>
  <c r="O503" i="10" s="1"/>
  <c r="K501" i="10"/>
  <c r="J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L477" i="10" s="1"/>
  <c r="O477" i="10" s="1"/>
  <c r="P478" i="10"/>
  <c r="O478" i="10"/>
  <c r="N477" i="10"/>
  <c r="M477" i="10"/>
  <c r="P477" i="10" s="1"/>
  <c r="N476" i="10"/>
  <c r="P472" i="10"/>
  <c r="N472" i="10"/>
  <c r="N469" i="10" s="1"/>
  <c r="N467" i="10" s="1"/>
  <c r="L472" i="10"/>
  <c r="P471" i="10"/>
  <c r="O471" i="10"/>
  <c r="M470" i="10"/>
  <c r="P470" i="10" s="1"/>
  <c r="M469" i="10"/>
  <c r="P469" i="10" s="1"/>
  <c r="N468" i="10"/>
  <c r="M468" i="10"/>
  <c r="P468" i="10" s="1"/>
  <c r="L468" i="10"/>
  <c r="J466" i="10"/>
  <c r="I466" i="10"/>
  <c r="K466" i="10" s="1"/>
  <c r="J465" i="10"/>
  <c r="I465" i="10"/>
  <c r="K465" i="10" s="1"/>
  <c r="I464" i="10"/>
  <c r="I463" i="10"/>
  <c r="I462" i="10"/>
  <c r="I460" i="10"/>
  <c r="K460" i="10" s="1"/>
  <c r="K458" i="10"/>
  <c r="P456" i="10"/>
  <c r="L456" i="10"/>
  <c r="O456" i="10" s="1"/>
  <c r="P455" i="10"/>
  <c r="O455" i="10"/>
  <c r="P454" i="10"/>
  <c r="N454" i="10"/>
  <c r="M454" i="10"/>
  <c r="P449" i="10"/>
  <c r="N449" i="10"/>
  <c r="L449" i="10"/>
  <c r="L447" i="10" s="1"/>
  <c r="O447" i="10" s="1"/>
  <c r="P448" i="10"/>
  <c r="O448" i="10"/>
  <c r="P447" i="10"/>
  <c r="N447" i="10"/>
  <c r="M447" i="10"/>
  <c r="M446" i="10"/>
  <c r="P446" i="10" s="1"/>
  <c r="N445" i="10"/>
  <c r="M445" i="10"/>
  <c r="L445" i="10"/>
  <c r="O445" i="10" s="1"/>
  <c r="J443" i="10"/>
  <c r="J442" i="10"/>
  <c r="I441" i="10"/>
  <c r="K441" i="10" s="1"/>
  <c r="I440" i="10"/>
  <c r="K440" i="10" s="1"/>
  <c r="I439" i="10"/>
  <c r="K439" i="10" s="1"/>
  <c r="I438" i="10"/>
  <c r="I437" i="10"/>
  <c r="K437" i="10" s="1"/>
  <c r="I435" i="10"/>
  <c r="J434" i="10"/>
  <c r="P431" i="10"/>
  <c r="L431" i="10"/>
  <c r="P430" i="10"/>
  <c r="O430" i="10"/>
  <c r="P429" i="10"/>
  <c r="N429" i="10"/>
  <c r="M429" i="10"/>
  <c r="P424" i="10"/>
  <c r="N424" i="10"/>
  <c r="L424" i="10"/>
  <c r="L422" i="10" s="1"/>
  <c r="O422" i="10" s="1"/>
  <c r="P423" i="10"/>
  <c r="O423" i="10"/>
  <c r="P422" i="10"/>
  <c r="N422" i="10"/>
  <c r="M422" i="10"/>
  <c r="N421" i="10"/>
  <c r="M421" i="10"/>
  <c r="P421" i="10" s="1"/>
  <c r="N420" i="10"/>
  <c r="M420" i="10"/>
  <c r="L420" i="10"/>
  <c r="O420" i="10" s="1"/>
  <c r="J418" i="10"/>
  <c r="K413" i="10"/>
  <c r="K412" i="10"/>
  <c r="N410" i="10"/>
  <c r="N408" i="10" s="1"/>
  <c r="M410" i="10"/>
  <c r="P410" i="10" s="1"/>
  <c r="L410" i="10"/>
  <c r="O410" i="10" s="1"/>
  <c r="P409" i="10"/>
  <c r="O409" i="10"/>
  <c r="N407" i="10"/>
  <c r="M407" i="10"/>
  <c r="L407" i="10"/>
  <c r="O407" i="10" s="1"/>
  <c r="P406" i="10"/>
  <c r="O406" i="10"/>
  <c r="P403" i="10"/>
  <c r="N403" i="10"/>
  <c r="M403" i="10"/>
  <c r="L403" i="10"/>
  <c r="K401" i="10"/>
  <c r="J401" i="10"/>
  <c r="I401" i="10"/>
  <c r="K400" i="10"/>
  <c r="K399" i="10"/>
  <c r="N397" i="10"/>
  <c r="N395" i="10" s="1"/>
  <c r="M397" i="10"/>
  <c r="L397" i="10"/>
  <c r="L395" i="10" s="1"/>
  <c r="O395" i="10" s="1"/>
  <c r="P396" i="10"/>
  <c r="O396" i="10"/>
  <c r="N394" i="10"/>
  <c r="M394" i="10"/>
  <c r="L394" i="10"/>
  <c r="L392" i="10" s="1"/>
  <c r="O392" i="10" s="1"/>
  <c r="P393" i="10"/>
  <c r="O393" i="10"/>
  <c r="N390" i="10"/>
  <c r="M390" i="10"/>
  <c r="P390" i="10" s="1"/>
  <c r="L390" i="10"/>
  <c r="O390" i="10" s="1"/>
  <c r="K388" i="10"/>
  <c r="J388" i="10"/>
  <c r="I388" i="10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M353" i="10"/>
  <c r="M351" i="10" s="1"/>
  <c r="L353" i="10"/>
  <c r="L351" i="10" s="1"/>
  <c r="P352" i="10"/>
  <c r="O352" i="10"/>
  <c r="N350" i="10"/>
  <c r="N348" i="10" s="1"/>
  <c r="M350" i="10"/>
  <c r="M348" i="10" s="1"/>
  <c r="L350" i="10"/>
  <c r="L348" i="10" s="1"/>
  <c r="P349" i="10"/>
  <c r="O349" i="10"/>
  <c r="N346" i="10"/>
  <c r="M346" i="10"/>
  <c r="P346" i="10" s="1"/>
  <c r="L346" i="10"/>
  <c r="O346" i="10" s="1"/>
  <c r="J343" i="10"/>
  <c r="J342" i="10"/>
  <c r="J341" i="10"/>
  <c r="J340" i="10"/>
  <c r="I340" i="10"/>
  <c r="J338" i="10"/>
  <c r="I338" i="10"/>
  <c r="N336" i="10"/>
  <c r="N334" i="10" s="1"/>
  <c r="M336" i="10"/>
  <c r="L336" i="10"/>
  <c r="L334" i="10" s="1"/>
  <c r="P335" i="10"/>
  <c r="O335" i="10"/>
  <c r="N333" i="10"/>
  <c r="M333" i="10"/>
  <c r="M331" i="10" s="1"/>
  <c r="L333" i="10"/>
  <c r="L331" i="10" s="1"/>
  <c r="P332" i="10"/>
  <c r="O332" i="10"/>
  <c r="N329" i="10"/>
  <c r="M329" i="10"/>
  <c r="P329" i="10" s="1"/>
  <c r="L329" i="10"/>
  <c r="O329" i="10" s="1"/>
  <c r="I327" i="10"/>
  <c r="I325" i="10"/>
  <c r="K325" i="10" s="1"/>
  <c r="N323" i="10"/>
  <c r="N321" i="10" s="1"/>
  <c r="M323" i="10"/>
  <c r="P323" i="10" s="1"/>
  <c r="L323" i="10"/>
  <c r="L321" i="10" s="1"/>
  <c r="O321" i="10" s="1"/>
  <c r="P322" i="10"/>
  <c r="O322" i="10"/>
  <c r="N320" i="10"/>
  <c r="M320" i="10"/>
  <c r="M318" i="10" s="1"/>
  <c r="P318" i="10" s="1"/>
  <c r="L320" i="10"/>
  <c r="P319" i="10"/>
  <c r="O319" i="10"/>
  <c r="O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I297" i="10" s="1"/>
  <c r="K297" i="10" s="1"/>
  <c r="N306" i="10"/>
  <c r="N304" i="10" s="1"/>
  <c r="M306" i="10"/>
  <c r="L306" i="10"/>
  <c r="L304" i="10" s="1"/>
  <c r="O304" i="10" s="1"/>
  <c r="P305" i="10"/>
  <c r="O305" i="10"/>
  <c r="N303" i="10"/>
  <c r="M303" i="10"/>
  <c r="L303" i="10"/>
  <c r="L301" i="10" s="1"/>
  <c r="P302" i="10"/>
  <c r="O302" i="10"/>
  <c r="O299" i="10"/>
  <c r="N299" i="10"/>
  <c r="M299" i="10"/>
  <c r="P299" i="10" s="1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M283" i="10" s="1"/>
  <c r="P283" i="10" s="1"/>
  <c r="L285" i="10"/>
  <c r="O285" i="10" s="1"/>
  <c r="P284" i="10"/>
  <c r="O284" i="10"/>
  <c r="N282" i="10"/>
  <c r="N280" i="10" s="1"/>
  <c r="M282" i="10"/>
  <c r="L282" i="10"/>
  <c r="L280" i="10" s="1"/>
  <c r="P281" i="10"/>
  <c r="O281" i="10"/>
  <c r="P278" i="10"/>
  <c r="N278" i="10"/>
  <c r="M278" i="10"/>
  <c r="L278" i="10"/>
  <c r="J276" i="10"/>
  <c r="I271" i="10"/>
  <c r="N269" i="10"/>
  <c r="N267" i="10" s="1"/>
  <c r="M269" i="10"/>
  <c r="L269" i="10"/>
  <c r="L267" i="10" s="1"/>
  <c r="O267" i="10" s="1"/>
  <c r="P268" i="10"/>
  <c r="O268" i="10"/>
  <c r="N266" i="10"/>
  <c r="M266" i="10"/>
  <c r="M264" i="10" s="1"/>
  <c r="L266" i="10"/>
  <c r="L264" i="10" s="1"/>
  <c r="P265" i="10"/>
  <c r="O265" i="10"/>
  <c r="O262" i="10"/>
  <c r="N262" i="10"/>
  <c r="M262" i="10"/>
  <c r="P262" i="10" s="1"/>
  <c r="L262" i="10"/>
  <c r="J260" i="10"/>
  <c r="K258" i="10"/>
  <c r="K257" i="10"/>
  <c r="I255" i="10"/>
  <c r="K255" i="10" s="1"/>
  <c r="L253" i="10"/>
  <c r="L252" i="10"/>
  <c r="L251" i="10"/>
  <c r="L250" i="10"/>
  <c r="P249" i="10"/>
  <c r="N249" i="10"/>
  <c r="J248" i="10"/>
  <c r="K247" i="10"/>
  <c r="K246" i="10"/>
  <c r="I244" i="10"/>
  <c r="L242" i="10"/>
  <c r="L241" i="10"/>
  <c r="L240" i="10"/>
  <c r="L239" i="10"/>
  <c r="P238" i="10"/>
  <c r="N238" i="10"/>
  <c r="J237" i="10"/>
  <c r="J226" i="10" s="1"/>
  <c r="J180" i="10" s="1"/>
  <c r="J236" i="10"/>
  <c r="I236" i="10"/>
  <c r="K236" i="10" s="1"/>
  <c r="J235" i="10"/>
  <c r="I235" i="10"/>
  <c r="K235" i="10" s="1"/>
  <c r="J233" i="10"/>
  <c r="N231" i="10"/>
  <c r="N230" i="10"/>
  <c r="N229" i="10"/>
  <c r="N228" i="10"/>
  <c r="I225" i="10"/>
  <c r="K225" i="10" s="1"/>
  <c r="I224" i="10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K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P188" i="10"/>
  <c r="O188" i="10"/>
  <c r="N186" i="10"/>
  <c r="M186" i="10"/>
  <c r="M184" i="10" s="1"/>
  <c r="L186" i="10"/>
  <c r="P185" i="10"/>
  <c r="O185" i="10"/>
  <c r="N182" i="10"/>
  <c r="M182" i="10"/>
  <c r="L182" i="10"/>
  <c r="O182" i="10" s="1"/>
  <c r="J177" i="10"/>
  <c r="I176" i="10"/>
  <c r="J174" i="10"/>
  <c r="J164" i="10" s="1"/>
  <c r="N173" i="10"/>
  <c r="N171" i="10" s="1"/>
  <c r="M173" i="10"/>
  <c r="L173" i="10"/>
  <c r="P172" i="10"/>
  <c r="O172" i="10"/>
  <c r="N170" i="10"/>
  <c r="N168" i="10" s="1"/>
  <c r="M170" i="10"/>
  <c r="M168" i="10" s="1"/>
  <c r="L170" i="10"/>
  <c r="P169" i="10"/>
  <c r="O169" i="10"/>
  <c r="N166" i="10"/>
  <c r="M166" i="10"/>
  <c r="L166" i="10"/>
  <c r="O166" i="10" s="1"/>
  <c r="I159" i="10"/>
  <c r="K159" i="10" s="1"/>
  <c r="N157" i="10"/>
  <c r="N155" i="10" s="1"/>
  <c r="M157" i="10"/>
  <c r="P157" i="10" s="1"/>
  <c r="L157" i="10"/>
  <c r="L155" i="10" s="1"/>
  <c r="O155" i="10" s="1"/>
  <c r="P156" i="10"/>
  <c r="O156" i="10"/>
  <c r="N154" i="10"/>
  <c r="N152" i="10" s="1"/>
  <c r="M154" i="10"/>
  <c r="P154" i="10" s="1"/>
  <c r="L154" i="10"/>
  <c r="P153" i="10"/>
  <c r="O153" i="10"/>
  <c r="O150" i="10"/>
  <c r="N150" i="10"/>
  <c r="M150" i="10"/>
  <c r="P150" i="10" s="1"/>
  <c r="L150" i="10"/>
  <c r="J148" i="10"/>
  <c r="I146" i="10"/>
  <c r="I130" i="10" s="1"/>
  <c r="K130" i="10" s="1"/>
  <c r="I145" i="10"/>
  <c r="K145" i="10" s="1"/>
  <c r="I144" i="10"/>
  <c r="K144" i="10" s="1"/>
  <c r="N140" i="10"/>
  <c r="N138" i="10" s="1"/>
  <c r="M140" i="10"/>
  <c r="M138" i="10" s="1"/>
  <c r="L140" i="10"/>
  <c r="P139" i="10"/>
  <c r="O139" i="10"/>
  <c r="N137" i="10"/>
  <c r="N135" i="10" s="1"/>
  <c r="M137" i="10"/>
  <c r="M135" i="10" s="1"/>
  <c r="L137" i="10"/>
  <c r="L135" i="10" s="1"/>
  <c r="P136" i="10"/>
  <c r="O136" i="10"/>
  <c r="N133" i="10"/>
  <c r="M133" i="10"/>
  <c r="P133" i="10" s="1"/>
  <c r="L133" i="10"/>
  <c r="O133" i="10" s="1"/>
  <c r="J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P120" i="10"/>
  <c r="O120" i="10"/>
  <c r="N120" i="10"/>
  <c r="M120" i="10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K100" i="10" s="1"/>
  <c r="J99" i="10"/>
  <c r="I99" i="10"/>
  <c r="I87" i="10" s="1"/>
  <c r="K87" i="10" s="1"/>
  <c r="J98" i="10"/>
  <c r="I98" i="10"/>
  <c r="K98" i="10" s="1"/>
  <c r="N96" i="10"/>
  <c r="M96" i="10"/>
  <c r="M94" i="10" s="1"/>
  <c r="P94" i="10" s="1"/>
  <c r="L96" i="10"/>
  <c r="L94" i="10" s="1"/>
  <c r="O94" i="10" s="1"/>
  <c r="P95" i="10"/>
  <c r="O95" i="10"/>
  <c r="N93" i="10"/>
  <c r="N91" i="10" s="1"/>
  <c r="M93" i="10"/>
  <c r="L93" i="10"/>
  <c r="L91" i="10" s="1"/>
  <c r="P92" i="10"/>
  <c r="O92" i="10"/>
  <c r="N89" i="10"/>
  <c r="M89" i="10"/>
  <c r="P89" i="10" s="1"/>
  <c r="L89" i="10"/>
  <c r="O89" i="10" s="1"/>
  <c r="J87" i="10"/>
  <c r="J86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K78" i="10" s="1"/>
  <c r="J77" i="10"/>
  <c r="J76" i="10"/>
  <c r="N74" i="10"/>
  <c r="N72" i="10" s="1"/>
  <c r="M74" i="10"/>
  <c r="P74" i="10" s="1"/>
  <c r="L74" i="10"/>
  <c r="L72" i="10" s="1"/>
  <c r="O72" i="10" s="1"/>
  <c r="P73" i="10"/>
  <c r="O73" i="10"/>
  <c r="N71" i="10"/>
  <c r="N69" i="10" s="1"/>
  <c r="M71" i="10"/>
  <c r="M69" i="10" s="1"/>
  <c r="L71" i="10"/>
  <c r="L69" i="10" s="1"/>
  <c r="P70" i="10"/>
  <c r="O70" i="10"/>
  <c r="P67" i="10"/>
  <c r="N67" i="10"/>
  <c r="M67" i="10"/>
  <c r="L67" i="10"/>
  <c r="O67" i="10" s="1"/>
  <c r="J65" i="10"/>
  <c r="J64" i="10"/>
  <c r="N61" i="10"/>
  <c r="N59" i="10" s="1"/>
  <c r="M61" i="10"/>
  <c r="P61" i="10" s="1"/>
  <c r="L61" i="10"/>
  <c r="O61" i="10" s="1"/>
  <c r="P60" i="10"/>
  <c r="O60" i="10"/>
  <c r="N58" i="10"/>
  <c r="N56" i="10" s="1"/>
  <c r="M58" i="10"/>
  <c r="M56" i="10" s="1"/>
  <c r="L58" i="10"/>
  <c r="L56" i="10" s="1"/>
  <c r="P57" i="10"/>
  <c r="O57" i="10"/>
  <c r="O54" i="10"/>
  <c r="N54" i="10"/>
  <c r="M54" i="10"/>
  <c r="P54" i="10" s="1"/>
  <c r="L54" i="10"/>
  <c r="N49" i="10"/>
  <c r="M49" i="10"/>
  <c r="P49" i="10" s="1"/>
  <c r="L49" i="10"/>
  <c r="O49" i="10" s="1"/>
  <c r="P48" i="10"/>
  <c r="O48" i="10"/>
  <c r="N46" i="10"/>
  <c r="N44" i="10" s="1"/>
  <c r="M46" i="10"/>
  <c r="L46" i="10"/>
  <c r="L44" i="10" s="1"/>
  <c r="P45" i="10"/>
  <c r="O45" i="10"/>
  <c r="N42" i="10"/>
  <c r="M42" i="10"/>
  <c r="P42" i="10" s="1"/>
  <c r="L42" i="10"/>
  <c r="O42" i="10" s="1"/>
  <c r="P36" i="10"/>
  <c r="N36" i="10"/>
  <c r="M36" i="10"/>
  <c r="O35" i="10"/>
  <c r="N35" i="10"/>
  <c r="N34" i="10" s="1"/>
  <c r="M35" i="10"/>
  <c r="P35" i="10" s="1"/>
  <c r="L35" i="10"/>
  <c r="M34" i="10"/>
  <c r="P34" i="10" s="1"/>
  <c r="M33" i="10"/>
  <c r="P33" i="10" s="1"/>
  <c r="P32" i="10"/>
  <c r="N32" i="10"/>
  <c r="M32" i="10"/>
  <c r="L32" i="10"/>
  <c r="O32" i="10" s="1"/>
  <c r="P31" i="10"/>
  <c r="M31" i="10"/>
  <c r="N29" i="10"/>
  <c r="M29" i="10"/>
  <c r="P29" i="10" s="1"/>
  <c r="P25" i="10"/>
  <c r="N25" i="10"/>
  <c r="M25" i="10"/>
  <c r="L25" i="10"/>
  <c r="O25" i="10" s="1"/>
  <c r="O22" i="10"/>
  <c r="N22" i="10"/>
  <c r="N19" i="10" s="1"/>
  <c r="M22" i="10"/>
  <c r="P22" i="10" s="1"/>
  <c r="L22" i="10"/>
  <c r="L19" i="10"/>
  <c r="O19" i="10" s="1"/>
  <c r="N15" i="10"/>
  <c r="M15" i="10"/>
  <c r="P15" i="10" s="1"/>
  <c r="L12" i="10"/>
  <c r="O12" i="10" s="1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O815" i="9"/>
  <c r="N815" i="9"/>
  <c r="M815" i="9"/>
  <c r="L815" i="9"/>
  <c r="P810" i="9"/>
  <c r="O810" i="9"/>
  <c r="N810" i="9"/>
  <c r="P809" i="9"/>
  <c r="O809" i="9"/>
  <c r="O808" i="9"/>
  <c r="N808" i="9"/>
  <c r="M808" i="9"/>
  <c r="P808" i="9" s="1"/>
  <c r="L808" i="9"/>
  <c r="P807" i="9"/>
  <c r="N807" i="9"/>
  <c r="N805" i="9" s="1"/>
  <c r="M807" i="9"/>
  <c r="L807" i="9"/>
  <c r="O807" i="9" s="1"/>
  <c r="O806" i="9"/>
  <c r="N806" i="9"/>
  <c r="M806" i="9"/>
  <c r="L806" i="9"/>
  <c r="L805" i="9" s="1"/>
  <c r="O805" i="9" s="1"/>
  <c r="K804" i="9"/>
  <c r="J804" i="9"/>
  <c r="K802" i="9"/>
  <c r="J801" i="9"/>
  <c r="J800" i="9"/>
  <c r="J785" i="9" s="1"/>
  <c r="I800" i="9"/>
  <c r="P798" i="9"/>
  <c r="O798" i="9"/>
  <c r="P797" i="9"/>
  <c r="O797" i="9"/>
  <c r="P796" i="9"/>
  <c r="N796" i="9"/>
  <c r="M796" i="9"/>
  <c r="L796" i="9"/>
  <c r="O796" i="9" s="1"/>
  <c r="P791" i="9"/>
  <c r="N791" i="9"/>
  <c r="N789" i="9" s="1"/>
  <c r="L791" i="9"/>
  <c r="P790" i="9"/>
  <c r="O790" i="9"/>
  <c r="M789" i="9"/>
  <c r="P789" i="9" s="1"/>
  <c r="P788" i="9"/>
  <c r="N788" i="9"/>
  <c r="N786" i="9" s="1"/>
  <c r="M788" i="9"/>
  <c r="N787" i="9"/>
  <c r="M787" i="9"/>
  <c r="L787" i="9"/>
  <c r="P782" i="9"/>
  <c r="O782" i="9"/>
  <c r="P781" i="9"/>
  <c r="O781" i="9"/>
  <c r="P780" i="9"/>
  <c r="N780" i="9"/>
  <c r="M780" i="9"/>
  <c r="L780" i="9"/>
  <c r="O780" i="9" s="1"/>
  <c r="P775" i="9"/>
  <c r="O775" i="9"/>
  <c r="N775" i="9"/>
  <c r="N773" i="9" s="1"/>
  <c r="P774" i="9"/>
  <c r="O774" i="9"/>
  <c r="P773" i="9"/>
  <c r="O773" i="9"/>
  <c r="M773" i="9"/>
  <c r="L773" i="9"/>
  <c r="O772" i="9"/>
  <c r="N772" i="9"/>
  <c r="M772" i="9"/>
  <c r="P772" i="9" s="1"/>
  <c r="L772" i="9"/>
  <c r="P771" i="9"/>
  <c r="N771" i="9"/>
  <c r="M771" i="9"/>
  <c r="L771" i="9"/>
  <c r="O771" i="9" s="1"/>
  <c r="O770" i="9"/>
  <c r="M770" i="9"/>
  <c r="P770" i="9" s="1"/>
  <c r="L770" i="9"/>
  <c r="K769" i="9"/>
  <c r="J769" i="9"/>
  <c r="P766" i="9"/>
  <c r="O766" i="9"/>
  <c r="P765" i="9"/>
  <c r="O765" i="9"/>
  <c r="P764" i="9"/>
  <c r="N764" i="9"/>
  <c r="M764" i="9"/>
  <c r="L764" i="9"/>
  <c r="O764" i="9" s="1"/>
  <c r="P759" i="9"/>
  <c r="O759" i="9"/>
  <c r="N759" i="9"/>
  <c r="N757" i="9" s="1"/>
  <c r="P758" i="9"/>
  <c r="O758" i="9"/>
  <c r="P757" i="9"/>
  <c r="O757" i="9"/>
  <c r="M757" i="9"/>
  <c r="L757" i="9"/>
  <c r="O756" i="9"/>
  <c r="N756" i="9"/>
  <c r="M756" i="9"/>
  <c r="P756" i="9" s="1"/>
  <c r="L756" i="9"/>
  <c r="P755" i="9"/>
  <c r="N755" i="9"/>
  <c r="M755" i="9"/>
  <c r="L755" i="9"/>
  <c r="O755" i="9" s="1"/>
  <c r="O754" i="9"/>
  <c r="M754" i="9"/>
  <c r="P754" i="9" s="1"/>
  <c r="L754" i="9"/>
  <c r="K753" i="9"/>
  <c r="J753" i="9"/>
  <c r="P749" i="9"/>
  <c r="O749" i="9"/>
  <c r="P748" i="9"/>
  <c r="O748" i="9"/>
  <c r="P747" i="9"/>
  <c r="N747" i="9"/>
  <c r="M747" i="9"/>
  <c r="L747" i="9"/>
  <c r="O747" i="9" s="1"/>
  <c r="P742" i="9"/>
  <c r="O742" i="9"/>
  <c r="N742" i="9"/>
  <c r="N740" i="9" s="1"/>
  <c r="P741" i="9"/>
  <c r="O741" i="9"/>
  <c r="P740" i="9"/>
  <c r="O740" i="9"/>
  <c r="M740" i="9"/>
  <c r="L740" i="9"/>
  <c r="O739" i="9"/>
  <c r="N739" i="9"/>
  <c r="M739" i="9"/>
  <c r="P739" i="9" s="1"/>
  <c r="L739" i="9"/>
  <c r="P738" i="9"/>
  <c r="N738" i="9"/>
  <c r="M738" i="9"/>
  <c r="L738" i="9"/>
  <c r="O738" i="9" s="1"/>
  <c r="O737" i="9"/>
  <c r="M737" i="9"/>
  <c r="P737" i="9" s="1"/>
  <c r="L737" i="9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P695" i="9"/>
  <c r="N695" i="9"/>
  <c r="M695" i="9"/>
  <c r="L695" i="9"/>
  <c r="O695" i="9" s="1"/>
  <c r="P690" i="9"/>
  <c r="N690" i="9"/>
  <c r="L690" i="9"/>
  <c r="N688" i="9"/>
  <c r="M688" i="9"/>
  <c r="P688" i="9" s="1"/>
  <c r="N687" i="9"/>
  <c r="M687" i="9"/>
  <c r="P687" i="9" s="1"/>
  <c r="O686" i="9"/>
  <c r="N686" i="9"/>
  <c r="M686" i="9"/>
  <c r="L686" i="9"/>
  <c r="N685" i="9"/>
  <c r="J679" i="9"/>
  <c r="J678" i="9" s="1"/>
  <c r="I678" i="9"/>
  <c r="K678" i="9" s="1"/>
  <c r="J675" i="9"/>
  <c r="J669" i="9" s="1"/>
  <c r="J654" i="9" s="1"/>
  <c r="I671" i="9"/>
  <c r="K671" i="9" s="1"/>
  <c r="I670" i="9"/>
  <c r="K670" i="9" s="1"/>
  <c r="I669" i="9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L660" i="9"/>
  <c r="L658" i="9" s="1"/>
  <c r="O658" i="9" s="1"/>
  <c r="P659" i="9"/>
  <c r="O659" i="9"/>
  <c r="P658" i="9"/>
  <c r="N658" i="9"/>
  <c r="M658" i="9"/>
  <c r="M657" i="9"/>
  <c r="P657" i="9" s="1"/>
  <c r="P656" i="9"/>
  <c r="N656" i="9"/>
  <c r="M656" i="9"/>
  <c r="L656" i="9"/>
  <c r="N655" i="9"/>
  <c r="K652" i="9"/>
  <c r="J652" i="9"/>
  <c r="J651" i="9"/>
  <c r="I651" i="9"/>
  <c r="I628" i="9" s="1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O641" i="9" s="1"/>
  <c r="P640" i="9"/>
  <c r="O640" i="9"/>
  <c r="N639" i="9"/>
  <c r="M639" i="9"/>
  <c r="P639" i="9" s="1"/>
  <c r="P634" i="9"/>
  <c r="N634" i="9"/>
  <c r="N631" i="9" s="1"/>
  <c r="L634" i="9"/>
  <c r="P633" i="9"/>
  <c r="O633" i="9"/>
  <c r="M632" i="9"/>
  <c r="P632" i="9" s="1"/>
  <c r="M631" i="9"/>
  <c r="P630" i="9"/>
  <c r="N630" i="9"/>
  <c r="M630" i="9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594" i="9" s="1"/>
  <c r="J603" i="9"/>
  <c r="J596" i="9"/>
  <c r="J595" i="9"/>
  <c r="I594" i="9"/>
  <c r="I593" i="9"/>
  <c r="J583" i="9"/>
  <c r="J582" i="9"/>
  <c r="J577" i="9"/>
  <c r="I577" i="9"/>
  <c r="J576" i="9"/>
  <c r="I576" i="9"/>
  <c r="I559" i="9" s="1"/>
  <c r="I543" i="9" s="1"/>
  <c r="J569" i="9"/>
  <c r="I569" i="9"/>
  <c r="J568" i="9"/>
  <c r="I568" i="9"/>
  <c r="J561" i="9"/>
  <c r="I561" i="9"/>
  <c r="J560" i="9"/>
  <c r="I560" i="9"/>
  <c r="P557" i="9"/>
  <c r="L557" i="9"/>
  <c r="O557" i="9" s="1"/>
  <c r="P556" i="9"/>
  <c r="O556" i="9"/>
  <c r="P555" i="9"/>
  <c r="N555" i="9"/>
  <c r="N545" i="9" s="1"/>
  <c r="M555" i="9"/>
  <c r="P549" i="9"/>
  <c r="N549" i="9"/>
  <c r="N546" i="9" s="1"/>
  <c r="L549" i="9"/>
  <c r="P548" i="9"/>
  <c r="O548" i="9"/>
  <c r="P547" i="9"/>
  <c r="N547" i="9"/>
  <c r="M547" i="9"/>
  <c r="P546" i="9"/>
  <c r="M546" i="9"/>
  <c r="O545" i="9"/>
  <c r="M545" i="9"/>
  <c r="P545" i="9" s="1"/>
  <c r="L545" i="9"/>
  <c r="P544" i="9"/>
  <c r="N544" i="9"/>
  <c r="M544" i="9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I522" i="9" s="1"/>
  <c r="K522" i="9" s="1"/>
  <c r="P535" i="9"/>
  <c r="L535" i="9"/>
  <c r="O535" i="9" s="1"/>
  <c r="P534" i="9"/>
  <c r="O534" i="9"/>
  <c r="P533" i="9"/>
  <c r="N533" i="9"/>
  <c r="M533" i="9"/>
  <c r="P528" i="9"/>
  <c r="N528" i="9"/>
  <c r="N525" i="9" s="1"/>
  <c r="N523" i="9" s="1"/>
  <c r="L528" i="9"/>
  <c r="O528" i="9" s="1"/>
  <c r="P527" i="9"/>
  <c r="O527" i="9"/>
  <c r="N526" i="9"/>
  <c r="M526" i="9"/>
  <c r="P526" i="9" s="1"/>
  <c r="M525" i="9"/>
  <c r="P525" i="9" s="1"/>
  <c r="O524" i="9"/>
  <c r="N524" i="9"/>
  <c r="M524" i="9"/>
  <c r="L524" i="9"/>
  <c r="K517" i="9"/>
  <c r="J517" i="9"/>
  <c r="K516" i="9"/>
  <c r="P514" i="9"/>
  <c r="O514" i="9"/>
  <c r="P513" i="9"/>
  <c r="O513" i="9"/>
  <c r="O512" i="9"/>
  <c r="N512" i="9"/>
  <c r="M512" i="9"/>
  <c r="P512" i="9" s="1"/>
  <c r="L512" i="9"/>
  <c r="P507" i="9"/>
  <c r="O507" i="9"/>
  <c r="N507" i="9"/>
  <c r="N505" i="9" s="1"/>
  <c r="P506" i="9"/>
  <c r="O506" i="9"/>
  <c r="M505" i="9"/>
  <c r="P505" i="9" s="1"/>
  <c r="L505" i="9"/>
  <c r="O505" i="9" s="1"/>
  <c r="P504" i="9"/>
  <c r="M504" i="9"/>
  <c r="L504" i="9"/>
  <c r="O504" i="9" s="1"/>
  <c r="P503" i="9"/>
  <c r="O503" i="9"/>
  <c r="N503" i="9"/>
  <c r="M503" i="9"/>
  <c r="M502" i="9" s="1"/>
  <c r="L503" i="9"/>
  <c r="P502" i="9"/>
  <c r="O502" i="9"/>
  <c r="L502" i="9"/>
  <c r="K501" i="9"/>
  <c r="J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L477" i="9" s="1"/>
  <c r="O477" i="9" s="1"/>
  <c r="P478" i="9"/>
  <c r="O478" i="9"/>
  <c r="P477" i="9"/>
  <c r="N477" i="9"/>
  <c r="M477" i="9"/>
  <c r="P472" i="9"/>
  <c r="N472" i="9"/>
  <c r="L472" i="9"/>
  <c r="O472" i="9" s="1"/>
  <c r="P471" i="9"/>
  <c r="O471" i="9"/>
  <c r="N470" i="9"/>
  <c r="M470" i="9"/>
  <c r="P470" i="9" s="1"/>
  <c r="P469" i="9"/>
  <c r="N469" i="9"/>
  <c r="M469" i="9"/>
  <c r="P468" i="9"/>
  <c r="O468" i="9"/>
  <c r="N468" i="9"/>
  <c r="M468" i="9"/>
  <c r="M467" i="9" s="1"/>
  <c r="L468" i="9"/>
  <c r="P467" i="9"/>
  <c r="J466" i="9"/>
  <c r="I466" i="9"/>
  <c r="K466" i="9" s="1"/>
  <c r="J465" i="9"/>
  <c r="I465" i="9"/>
  <c r="K465" i="9" s="1"/>
  <c r="I464" i="9"/>
  <c r="I463" i="9"/>
  <c r="I462" i="9"/>
  <c r="K462" i="9" s="1"/>
  <c r="I460" i="9"/>
  <c r="K458" i="9"/>
  <c r="P456" i="9"/>
  <c r="L456" i="9"/>
  <c r="O456" i="9" s="1"/>
  <c r="P455" i="9"/>
  <c r="O455" i="9"/>
  <c r="N454" i="9"/>
  <c r="M454" i="9"/>
  <c r="P454" i="9" s="1"/>
  <c r="P449" i="9"/>
  <c r="N449" i="9"/>
  <c r="N446" i="9" s="1"/>
  <c r="L449" i="9"/>
  <c r="P448" i="9"/>
  <c r="O448" i="9"/>
  <c r="M447" i="9"/>
  <c r="P447" i="9" s="1"/>
  <c r="M446" i="9"/>
  <c r="P445" i="9"/>
  <c r="N445" i="9"/>
  <c r="M445" i="9"/>
  <c r="L445" i="9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J434" i="9"/>
  <c r="P431" i="9"/>
  <c r="L431" i="9"/>
  <c r="O431" i="9" s="1"/>
  <c r="P430" i="9"/>
  <c r="O430" i="9"/>
  <c r="N429" i="9"/>
  <c r="M429" i="9"/>
  <c r="P429" i="9" s="1"/>
  <c r="P424" i="9"/>
  <c r="N424" i="9"/>
  <c r="N421" i="9" s="1"/>
  <c r="L424" i="9"/>
  <c r="P423" i="9"/>
  <c r="O423" i="9"/>
  <c r="N422" i="9"/>
  <c r="M422" i="9"/>
  <c r="P422" i="9" s="1"/>
  <c r="M421" i="9"/>
  <c r="P421" i="9" s="1"/>
  <c r="P420" i="9"/>
  <c r="N420" i="9"/>
  <c r="M420" i="9"/>
  <c r="L420" i="9"/>
  <c r="M419" i="9"/>
  <c r="J418" i="9"/>
  <c r="K413" i="9"/>
  <c r="K412" i="9"/>
  <c r="N410" i="9"/>
  <c r="N408" i="9" s="1"/>
  <c r="M410" i="9"/>
  <c r="M408" i="9" s="1"/>
  <c r="P408" i="9" s="1"/>
  <c r="L410" i="9"/>
  <c r="O410" i="9" s="1"/>
  <c r="P409" i="9"/>
  <c r="O409" i="9"/>
  <c r="N407" i="9"/>
  <c r="M407" i="9"/>
  <c r="L407" i="9"/>
  <c r="P406" i="9"/>
  <c r="O406" i="9"/>
  <c r="P403" i="9"/>
  <c r="N403" i="9"/>
  <c r="M403" i="9"/>
  <c r="L403" i="9"/>
  <c r="K401" i="9"/>
  <c r="J401" i="9"/>
  <c r="I401" i="9"/>
  <c r="K400" i="9"/>
  <c r="K399" i="9"/>
  <c r="N397" i="9"/>
  <c r="N395" i="9" s="1"/>
  <c r="M397" i="9"/>
  <c r="P397" i="9" s="1"/>
  <c r="L397" i="9"/>
  <c r="P396" i="9"/>
  <c r="O396" i="9"/>
  <c r="N394" i="9"/>
  <c r="N392" i="9" s="1"/>
  <c r="M394" i="9"/>
  <c r="M392" i="9" s="1"/>
  <c r="P392" i="9" s="1"/>
  <c r="L394" i="9"/>
  <c r="P393" i="9"/>
  <c r="O393" i="9"/>
  <c r="P390" i="9"/>
  <c r="N390" i="9"/>
  <c r="M390" i="9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N351" i="9" s="1"/>
  <c r="M353" i="9"/>
  <c r="M351" i="9" s="1"/>
  <c r="L353" i="9"/>
  <c r="L351" i="9" s="1"/>
  <c r="P352" i="9"/>
  <c r="O352" i="9"/>
  <c r="N350" i="9"/>
  <c r="M350" i="9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P336" i="9" s="1"/>
  <c r="L336" i="9"/>
  <c r="P335" i="9"/>
  <c r="O335" i="9"/>
  <c r="N333" i="9"/>
  <c r="N331" i="9" s="1"/>
  <c r="M333" i="9"/>
  <c r="M331" i="9" s="1"/>
  <c r="L333" i="9"/>
  <c r="L331" i="9" s="1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L323" i="9"/>
  <c r="O323" i="9" s="1"/>
  <c r="P322" i="9"/>
  <c r="O322" i="9"/>
  <c r="N320" i="9"/>
  <c r="N318" i="9" s="1"/>
  <c r="M320" i="9"/>
  <c r="P320" i="9" s="1"/>
  <c r="L320" i="9"/>
  <c r="P319" i="9"/>
  <c r="O319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M304" i="9" s="1"/>
  <c r="P304" i="9" s="1"/>
  <c r="L306" i="9"/>
  <c r="P305" i="9"/>
  <c r="O305" i="9"/>
  <c r="N303" i="9"/>
  <c r="M303" i="9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I276" i="9" s="1"/>
  <c r="K276" i="9" s="1"/>
  <c r="N285" i="9"/>
  <c r="N283" i="9" s="1"/>
  <c r="M285" i="9"/>
  <c r="L285" i="9"/>
  <c r="O285" i="9" s="1"/>
  <c r="P284" i="9"/>
  <c r="O284" i="9"/>
  <c r="N282" i="9"/>
  <c r="N280" i="9" s="1"/>
  <c r="M282" i="9"/>
  <c r="P282" i="9" s="1"/>
  <c r="L282" i="9"/>
  <c r="L280" i="9" s="1"/>
  <c r="O280" i="9" s="1"/>
  <c r="P281" i="9"/>
  <c r="O281" i="9"/>
  <c r="O278" i="9"/>
  <c r="N278" i="9"/>
  <c r="M278" i="9"/>
  <c r="P278" i="9" s="1"/>
  <c r="L278" i="9"/>
  <c r="J276" i="9"/>
  <c r="I271" i="9"/>
  <c r="K271" i="9" s="1"/>
  <c r="N269" i="9"/>
  <c r="N267" i="9" s="1"/>
  <c r="M269" i="9"/>
  <c r="L269" i="9"/>
  <c r="L267" i="9" s="1"/>
  <c r="O267" i="9" s="1"/>
  <c r="P268" i="9"/>
  <c r="O268" i="9"/>
  <c r="N266" i="9"/>
  <c r="N264" i="9" s="1"/>
  <c r="M266" i="9"/>
  <c r="L266" i="9"/>
  <c r="L264" i="9" s="1"/>
  <c r="P265" i="9"/>
  <c r="O265" i="9"/>
  <c r="N262" i="9"/>
  <c r="M262" i="9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K247" i="9"/>
  <c r="K246" i="9"/>
  <c r="I244" i="9"/>
  <c r="K244" i="9" s="1"/>
  <c r="L242" i="9"/>
  <c r="L241" i="9"/>
  <c r="L240" i="9"/>
  <c r="L239" i="9"/>
  <c r="P238" i="9"/>
  <c r="N238" i="9"/>
  <c r="N227" i="9" s="1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J226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K215" i="9" s="1"/>
  <c r="I214" i="9"/>
  <c r="K214" i="9" s="1"/>
  <c r="L212" i="9"/>
  <c r="L211" i="9"/>
  <c r="L210" i="9"/>
  <c r="P209" i="9"/>
  <c r="N209" i="9"/>
  <c r="J208" i="9"/>
  <c r="K207" i="9"/>
  <c r="K206" i="9"/>
  <c r="I204" i="9"/>
  <c r="K204" i="9" s="1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P188" i="9"/>
  <c r="O188" i="9"/>
  <c r="N186" i="9"/>
  <c r="M186" i="9"/>
  <c r="M184" i="9" s="1"/>
  <c r="L186" i="9"/>
  <c r="P185" i="9"/>
  <c r="O185" i="9"/>
  <c r="P182" i="9"/>
  <c r="N182" i="9"/>
  <c r="M182" i="9"/>
  <c r="L182" i="9"/>
  <c r="O182" i="9" s="1"/>
  <c r="J180" i="9"/>
  <c r="J177" i="9"/>
  <c r="I176" i="9"/>
  <c r="K176" i="9" s="1"/>
  <c r="J174" i="9"/>
  <c r="N173" i="9"/>
  <c r="N171" i="9" s="1"/>
  <c r="M173" i="9"/>
  <c r="P173" i="9" s="1"/>
  <c r="L173" i="9"/>
  <c r="O173" i="9" s="1"/>
  <c r="P172" i="9"/>
  <c r="O172" i="9"/>
  <c r="N170" i="9"/>
  <c r="M170" i="9"/>
  <c r="L170" i="9"/>
  <c r="P169" i="9"/>
  <c r="O169" i="9"/>
  <c r="P166" i="9"/>
  <c r="N166" i="9"/>
  <c r="M166" i="9"/>
  <c r="L166" i="9"/>
  <c r="O166" i="9" s="1"/>
  <c r="J164" i="9"/>
  <c r="I159" i="9"/>
  <c r="I148" i="9" s="1"/>
  <c r="K148" i="9" s="1"/>
  <c r="N157" i="9"/>
  <c r="N155" i="9" s="1"/>
  <c r="M157" i="9"/>
  <c r="L157" i="9"/>
  <c r="P156" i="9"/>
  <c r="O156" i="9"/>
  <c r="N154" i="9"/>
  <c r="N152" i="9" s="1"/>
  <c r="M154" i="9"/>
  <c r="L154" i="9"/>
  <c r="P153" i="9"/>
  <c r="O153" i="9"/>
  <c r="N150" i="9"/>
  <c r="M150" i="9"/>
  <c r="L150" i="9"/>
  <c r="O150" i="9" s="1"/>
  <c r="J148" i="9"/>
  <c r="I146" i="9"/>
  <c r="I130" i="9" s="1"/>
  <c r="K130" i="9" s="1"/>
  <c r="I145" i="9"/>
  <c r="I143" i="9" s="1"/>
  <c r="I131" i="9" s="1"/>
  <c r="I144" i="9"/>
  <c r="K144" i="9" s="1"/>
  <c r="N140" i="9"/>
  <c r="N138" i="9" s="1"/>
  <c r="M140" i="9"/>
  <c r="L140" i="9"/>
  <c r="P139" i="9"/>
  <c r="O139" i="9"/>
  <c r="N137" i="9"/>
  <c r="N135" i="9" s="1"/>
  <c r="M137" i="9"/>
  <c r="M135" i="9" s="1"/>
  <c r="L137" i="9"/>
  <c r="P136" i="9"/>
  <c r="O136" i="9"/>
  <c r="P133" i="9"/>
  <c r="O133" i="9"/>
  <c r="N133" i="9"/>
  <c r="M133" i="9"/>
  <c r="L133" i="9"/>
  <c r="J130" i="9"/>
  <c r="N127" i="9"/>
  <c r="N125" i="9" s="1"/>
  <c r="M127" i="9"/>
  <c r="L127" i="9"/>
  <c r="P126" i="9"/>
  <c r="O126" i="9"/>
  <c r="N124" i="9"/>
  <c r="M124" i="9"/>
  <c r="L124" i="9"/>
  <c r="O124" i="9" s="1"/>
  <c r="P123" i="9"/>
  <c r="O123" i="9"/>
  <c r="N120" i="9"/>
  <c r="M120" i="9"/>
  <c r="L120" i="9"/>
  <c r="K118" i="9"/>
  <c r="J118" i="9"/>
  <c r="I116" i="9"/>
  <c r="K116" i="9" s="1"/>
  <c r="I115" i="9"/>
  <c r="I114" i="9"/>
  <c r="K114" i="9" s="1"/>
  <c r="I113" i="9"/>
  <c r="K113" i="9" s="1"/>
  <c r="J112" i="9"/>
  <c r="J111" i="9"/>
  <c r="I111" i="9"/>
  <c r="K111" i="9" s="1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I99" i="9"/>
  <c r="J98" i="9"/>
  <c r="I98" i="9"/>
  <c r="K98" i="9" s="1"/>
  <c r="N96" i="9"/>
  <c r="N94" i="9" s="1"/>
  <c r="M96" i="9"/>
  <c r="L96" i="9"/>
  <c r="O96" i="9" s="1"/>
  <c r="P95" i="9"/>
  <c r="O95" i="9"/>
  <c r="N93" i="9"/>
  <c r="M93" i="9"/>
  <c r="L93" i="9"/>
  <c r="L91" i="9" s="1"/>
  <c r="P92" i="9"/>
  <c r="O92" i="9"/>
  <c r="N89" i="9"/>
  <c r="M89" i="9"/>
  <c r="L89" i="9"/>
  <c r="O89" i="9" s="1"/>
  <c r="J87" i="9"/>
  <c r="J86" i="9"/>
  <c r="I84" i="9"/>
  <c r="K84" i="9" s="1"/>
  <c r="I83" i="9"/>
  <c r="K83" i="9" s="1"/>
  <c r="I82" i="9"/>
  <c r="I81" i="9"/>
  <c r="K81" i="9" s="1"/>
  <c r="I80" i="9"/>
  <c r="K80" i="9" s="1"/>
  <c r="I79" i="9"/>
  <c r="I78" i="9"/>
  <c r="K78" i="9" s="1"/>
  <c r="J77" i="9"/>
  <c r="J76" i="9"/>
  <c r="J64" i="9" s="1"/>
  <c r="N74" i="9"/>
  <c r="N72" i="9" s="1"/>
  <c r="M74" i="9"/>
  <c r="L74" i="9"/>
  <c r="P73" i="9"/>
  <c r="O73" i="9"/>
  <c r="N71" i="9"/>
  <c r="M71" i="9"/>
  <c r="M69" i="9" s="1"/>
  <c r="L71" i="9"/>
  <c r="P70" i="9"/>
  <c r="O70" i="9"/>
  <c r="P67" i="9"/>
  <c r="N67" i="9"/>
  <c r="M67" i="9"/>
  <c r="L67" i="9"/>
  <c r="J65" i="9"/>
  <c r="N61" i="9"/>
  <c r="N59" i="9" s="1"/>
  <c r="M61" i="9"/>
  <c r="M59" i="9" s="1"/>
  <c r="P59" i="9" s="1"/>
  <c r="L61" i="9"/>
  <c r="L59" i="9" s="1"/>
  <c r="O59" i="9" s="1"/>
  <c r="P60" i="9"/>
  <c r="O60" i="9"/>
  <c r="N58" i="9"/>
  <c r="N56" i="9" s="1"/>
  <c r="M58" i="9"/>
  <c r="M56" i="9" s="1"/>
  <c r="L58" i="9"/>
  <c r="L56" i="9" s="1"/>
  <c r="P57" i="9"/>
  <c r="O57" i="9"/>
  <c r="O54" i="9"/>
  <c r="N54" i="9"/>
  <c r="M54" i="9"/>
  <c r="P54" i="9" s="1"/>
  <c r="L54" i="9"/>
  <c r="N49" i="9"/>
  <c r="N47" i="9" s="1"/>
  <c r="M49" i="9"/>
  <c r="L49" i="9"/>
  <c r="P48" i="9"/>
  <c r="O48" i="9"/>
  <c r="N46" i="9"/>
  <c r="M46" i="9"/>
  <c r="M44" i="9" s="1"/>
  <c r="L46" i="9"/>
  <c r="L44" i="9" s="1"/>
  <c r="P45" i="9"/>
  <c r="O45" i="9"/>
  <c r="P42" i="9"/>
  <c r="O42" i="9"/>
  <c r="N42" i="9"/>
  <c r="M42" i="9"/>
  <c r="L42" i="9"/>
  <c r="N36" i="9"/>
  <c r="M36" i="9"/>
  <c r="P36" i="9" s="1"/>
  <c r="O35" i="9"/>
  <c r="N35" i="9"/>
  <c r="M35" i="9"/>
  <c r="P35" i="9" s="1"/>
  <c r="L35" i="9"/>
  <c r="N34" i="9"/>
  <c r="N33" i="9"/>
  <c r="M33" i="9"/>
  <c r="M30" i="9" s="1"/>
  <c r="P30" i="9" s="1"/>
  <c r="P32" i="9"/>
  <c r="N32" i="9"/>
  <c r="N29" i="9" s="1"/>
  <c r="N28" i="9" s="1"/>
  <c r="M32" i="9"/>
  <c r="L32" i="9"/>
  <c r="N31" i="9"/>
  <c r="N30" i="9"/>
  <c r="M29" i="9"/>
  <c r="P29" i="9" s="1"/>
  <c r="L29" i="9"/>
  <c r="P25" i="9"/>
  <c r="O25" i="9"/>
  <c r="N25" i="9"/>
  <c r="N15" i="9" s="1"/>
  <c r="M25" i="9"/>
  <c r="L25" i="9"/>
  <c r="O22" i="9"/>
  <c r="N22" i="9"/>
  <c r="M22" i="9"/>
  <c r="P22" i="9" s="1"/>
  <c r="L22" i="9"/>
  <c r="N19" i="9"/>
  <c r="L19" i="9"/>
  <c r="M15" i="9"/>
  <c r="P15" i="9" s="1"/>
  <c r="L15" i="9"/>
  <c r="N12" i="9"/>
  <c r="L12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L791" i="8"/>
  <c r="P790" i="8"/>
  <c r="O790" i="8"/>
  <c r="P789" i="8"/>
  <c r="N789" i="8"/>
  <c r="M789" i="8"/>
  <c r="M788" i="8"/>
  <c r="P787" i="8"/>
  <c r="N787" i="8"/>
  <c r="N786" i="8" s="1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P774" i="8"/>
  <c r="O774" i="8"/>
  <c r="O773" i="8"/>
  <c r="N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P758" i="8"/>
  <c r="O758" i="8"/>
  <c r="O757" i="8"/>
  <c r="N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P741" i="8"/>
  <c r="O741" i="8"/>
  <c r="O740" i="8"/>
  <c r="N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P690" i="8"/>
  <c r="N690" i="8"/>
  <c r="N687" i="8" s="1"/>
  <c r="L690" i="8"/>
  <c r="L687" i="8" s="1"/>
  <c r="P688" i="8"/>
  <c r="N688" i="8"/>
  <c r="M688" i="8"/>
  <c r="M687" i="8"/>
  <c r="P686" i="8"/>
  <c r="N686" i="8"/>
  <c r="M686" i="8"/>
  <c r="L686" i="8"/>
  <c r="J679" i="8"/>
  <c r="J678" i="8" s="1"/>
  <c r="I678" i="8"/>
  <c r="K678" i="8" s="1"/>
  <c r="J675" i="8"/>
  <c r="I671" i="8"/>
  <c r="K671" i="8" s="1"/>
  <c r="I670" i="8"/>
  <c r="K670" i="8" s="1"/>
  <c r="J669" i="8"/>
  <c r="I669" i="8"/>
  <c r="I654" i="8" s="1"/>
  <c r="K654" i="8" s="1"/>
  <c r="P667" i="8"/>
  <c r="O667" i="8"/>
  <c r="P666" i="8"/>
  <c r="O666" i="8"/>
  <c r="P665" i="8"/>
  <c r="N665" i="8"/>
  <c r="M665" i="8"/>
  <c r="L665" i="8"/>
  <c r="O665" i="8" s="1"/>
  <c r="P660" i="8"/>
  <c r="N660" i="8"/>
  <c r="L660" i="8"/>
  <c r="O660" i="8" s="1"/>
  <c r="P659" i="8"/>
  <c r="O659" i="8"/>
  <c r="N658" i="8"/>
  <c r="M658" i="8"/>
  <c r="P658" i="8" s="1"/>
  <c r="P657" i="8"/>
  <c r="N657" i="8"/>
  <c r="M657" i="8"/>
  <c r="O656" i="8"/>
  <c r="N656" i="8"/>
  <c r="M656" i="8"/>
  <c r="P656" i="8" s="1"/>
  <c r="L656" i="8"/>
  <c r="P655" i="8"/>
  <c r="N655" i="8"/>
  <c r="M655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L639" i="8" s="1"/>
  <c r="O639" i="8" s="1"/>
  <c r="P640" i="8"/>
  <c r="O640" i="8"/>
  <c r="P639" i="8"/>
  <c r="N639" i="8"/>
  <c r="M639" i="8"/>
  <c r="P634" i="8"/>
  <c r="N634" i="8"/>
  <c r="L634" i="8"/>
  <c r="P633" i="8"/>
  <c r="O633" i="8"/>
  <c r="N632" i="8"/>
  <c r="M632" i="8"/>
  <c r="P632" i="8" s="1"/>
  <c r="P631" i="8"/>
  <c r="N631" i="8"/>
  <c r="N629" i="8" s="1"/>
  <c r="M631" i="8"/>
  <c r="O630" i="8"/>
  <c r="N630" i="8"/>
  <c r="M630" i="8"/>
  <c r="P630" i="8" s="1"/>
  <c r="L630" i="8"/>
  <c r="J621" i="8"/>
  <c r="I621" i="8"/>
  <c r="K621" i="8" s="1"/>
  <c r="J620" i="8"/>
  <c r="I620" i="8"/>
  <c r="K613" i="8"/>
  <c r="J613" i="8"/>
  <c r="K612" i="8"/>
  <c r="J612" i="8"/>
  <c r="K611" i="8"/>
  <c r="J611" i="8"/>
  <c r="J604" i="8"/>
  <c r="J603" i="8"/>
  <c r="J596" i="8"/>
  <c r="J594" i="8" s="1"/>
  <c r="J595" i="8"/>
  <c r="I594" i="8"/>
  <c r="J593" i="8"/>
  <c r="J592" i="8" s="1"/>
  <c r="I593" i="8"/>
  <c r="I592" i="8" s="1"/>
  <c r="K592" i="8" s="1"/>
  <c r="J583" i="8"/>
  <c r="J582" i="8"/>
  <c r="J576" i="8" s="1"/>
  <c r="J577" i="8"/>
  <c r="I577" i="8"/>
  <c r="I576" i="8"/>
  <c r="I559" i="8" s="1"/>
  <c r="J569" i="8"/>
  <c r="I569" i="8"/>
  <c r="K569" i="8" s="1"/>
  <c r="J568" i="8"/>
  <c r="I568" i="8"/>
  <c r="K568" i="8" s="1"/>
  <c r="J561" i="8"/>
  <c r="I561" i="8"/>
  <c r="K561" i="8" s="1"/>
  <c r="J560" i="8"/>
  <c r="I560" i="8"/>
  <c r="K560" i="8" s="1"/>
  <c r="J559" i="8"/>
  <c r="J543" i="8" s="1"/>
  <c r="P557" i="8"/>
  <c r="L557" i="8"/>
  <c r="P556" i="8"/>
  <c r="O556" i="8"/>
  <c r="N555" i="8"/>
  <c r="M555" i="8"/>
  <c r="P555" i="8" s="1"/>
  <c r="P549" i="8"/>
  <c r="N549" i="8"/>
  <c r="L549" i="8"/>
  <c r="O549" i="8" s="1"/>
  <c r="P548" i="8"/>
  <c r="O548" i="8"/>
  <c r="P547" i="8"/>
  <c r="N547" i="8"/>
  <c r="M547" i="8"/>
  <c r="N546" i="8"/>
  <c r="M546" i="8"/>
  <c r="P546" i="8" s="1"/>
  <c r="P545" i="8"/>
  <c r="N545" i="8"/>
  <c r="M545" i="8"/>
  <c r="M544" i="8" s="1"/>
  <c r="P544" i="8" s="1"/>
  <c r="L545" i="8"/>
  <c r="O545" i="8" s="1"/>
  <c r="I542" i="8"/>
  <c r="K542" i="8" s="1"/>
  <c r="I541" i="8"/>
  <c r="K541" i="8" s="1"/>
  <c r="I540" i="8"/>
  <c r="K540" i="8" s="1"/>
  <c r="I539" i="8"/>
  <c r="I538" i="8"/>
  <c r="K538" i="8" s="1"/>
  <c r="I537" i="8"/>
  <c r="I522" i="8" s="1"/>
  <c r="K522" i="8" s="1"/>
  <c r="P535" i="8"/>
  <c r="L535" i="8"/>
  <c r="P534" i="8"/>
  <c r="O534" i="8"/>
  <c r="N533" i="8"/>
  <c r="M533" i="8"/>
  <c r="P533" i="8" s="1"/>
  <c r="P528" i="8"/>
  <c r="N528" i="8"/>
  <c r="N525" i="8" s="1"/>
  <c r="L528" i="8"/>
  <c r="P527" i="8"/>
  <c r="O527" i="8"/>
  <c r="M526" i="8"/>
  <c r="P526" i="8" s="1"/>
  <c r="P525" i="8"/>
  <c r="M525" i="8"/>
  <c r="P524" i="8"/>
  <c r="N524" i="8"/>
  <c r="N523" i="8" s="1"/>
  <c r="M524" i="8"/>
  <c r="L524" i="8"/>
  <c r="O524" i="8" s="1"/>
  <c r="M523" i="8"/>
  <c r="P523" i="8" s="1"/>
  <c r="K517" i="8"/>
  <c r="J517" i="8"/>
  <c r="J501" i="8" s="1"/>
  <c r="K516" i="8"/>
  <c r="P514" i="8"/>
  <c r="O514" i="8"/>
  <c r="P513" i="8"/>
  <c r="O513" i="8"/>
  <c r="N512" i="8"/>
  <c r="M512" i="8"/>
  <c r="P512" i="8" s="1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O504" i="8"/>
  <c r="N504" i="8"/>
  <c r="M504" i="8"/>
  <c r="P504" i="8" s="1"/>
  <c r="L504" i="8"/>
  <c r="P503" i="8"/>
  <c r="N503" i="8"/>
  <c r="M503" i="8"/>
  <c r="M502" i="8" s="1"/>
  <c r="P502" i="8" s="1"/>
  <c r="L503" i="8"/>
  <c r="O503" i="8" s="1"/>
  <c r="N502" i="8"/>
  <c r="K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P472" i="8"/>
  <c r="N472" i="8"/>
  <c r="L472" i="8"/>
  <c r="L470" i="8" s="1"/>
  <c r="O470" i="8" s="1"/>
  <c r="P471" i="8"/>
  <c r="O471" i="8"/>
  <c r="P470" i="8"/>
  <c r="N470" i="8"/>
  <c r="M470" i="8"/>
  <c r="P469" i="8"/>
  <c r="N469" i="8"/>
  <c r="M469" i="8"/>
  <c r="P468" i="8"/>
  <c r="N468" i="8"/>
  <c r="N467" i="8" s="1"/>
  <c r="M468" i="8"/>
  <c r="L468" i="8"/>
  <c r="M467" i="8"/>
  <c r="P467" i="8" s="1"/>
  <c r="J466" i="8"/>
  <c r="I466" i="8"/>
  <c r="K466" i="8" s="1"/>
  <c r="J465" i="8"/>
  <c r="I465" i="8"/>
  <c r="K465" i="8" s="1"/>
  <c r="I464" i="8"/>
  <c r="I463" i="8"/>
  <c r="I462" i="8"/>
  <c r="I460" i="8"/>
  <c r="K460" i="8" s="1"/>
  <c r="K458" i="8"/>
  <c r="P456" i="8"/>
  <c r="L456" i="8"/>
  <c r="P455" i="8"/>
  <c r="O455" i="8"/>
  <c r="N454" i="8"/>
  <c r="M454" i="8"/>
  <c r="P454" i="8" s="1"/>
  <c r="P449" i="8"/>
  <c r="N449" i="8"/>
  <c r="L449" i="8"/>
  <c r="P448" i="8"/>
  <c r="O448" i="8"/>
  <c r="N447" i="8"/>
  <c r="M447" i="8"/>
  <c r="P447" i="8" s="1"/>
  <c r="P446" i="8"/>
  <c r="N446" i="8"/>
  <c r="N444" i="8" s="1"/>
  <c r="M446" i="8"/>
  <c r="O445" i="8"/>
  <c r="N445" i="8"/>
  <c r="M445" i="8"/>
  <c r="P445" i="8" s="1"/>
  <c r="L445" i="8"/>
  <c r="J443" i="8"/>
  <c r="J442" i="8"/>
  <c r="I441" i="8"/>
  <c r="K441" i="8" s="1"/>
  <c r="I440" i="8"/>
  <c r="I439" i="8"/>
  <c r="K439" i="8" s="1"/>
  <c r="I438" i="8"/>
  <c r="K438" i="8" s="1"/>
  <c r="I437" i="8"/>
  <c r="K437" i="8" s="1"/>
  <c r="I435" i="8"/>
  <c r="I433" i="8" s="1"/>
  <c r="J434" i="8"/>
  <c r="P431" i="8"/>
  <c r="L431" i="8"/>
  <c r="L429" i="8" s="1"/>
  <c r="O429" i="8" s="1"/>
  <c r="P430" i="8"/>
  <c r="O430" i="8"/>
  <c r="P429" i="8"/>
  <c r="N429" i="8"/>
  <c r="M429" i="8"/>
  <c r="P424" i="8"/>
  <c r="N424" i="8"/>
  <c r="L424" i="8"/>
  <c r="L422" i="8" s="1"/>
  <c r="O422" i="8" s="1"/>
  <c r="P423" i="8"/>
  <c r="O423" i="8"/>
  <c r="P422" i="8"/>
  <c r="N422" i="8"/>
  <c r="M422" i="8"/>
  <c r="P421" i="8"/>
  <c r="N421" i="8"/>
  <c r="M421" i="8"/>
  <c r="P420" i="8"/>
  <c r="O420" i="8"/>
  <c r="N420" i="8"/>
  <c r="N419" i="8" s="1"/>
  <c r="M420" i="8"/>
  <c r="L420" i="8"/>
  <c r="M419" i="8"/>
  <c r="P419" i="8" s="1"/>
  <c r="J418" i="8"/>
  <c r="K413" i="8"/>
  <c r="K412" i="8"/>
  <c r="N410" i="8"/>
  <c r="N408" i="8" s="1"/>
  <c r="M410" i="8"/>
  <c r="L410" i="8"/>
  <c r="L408" i="8" s="1"/>
  <c r="O408" i="8" s="1"/>
  <c r="P409" i="8"/>
  <c r="O409" i="8"/>
  <c r="N407" i="8"/>
  <c r="M407" i="8"/>
  <c r="P407" i="8" s="1"/>
  <c r="L407" i="8"/>
  <c r="L405" i="8" s="1"/>
  <c r="O405" i="8" s="1"/>
  <c r="P406" i="8"/>
  <c r="O406" i="8"/>
  <c r="O403" i="8"/>
  <c r="N403" i="8"/>
  <c r="M403" i="8"/>
  <c r="P403" i="8" s="1"/>
  <c r="L403" i="8"/>
  <c r="K401" i="8"/>
  <c r="J401" i="8"/>
  <c r="I401" i="8"/>
  <c r="K400" i="8"/>
  <c r="K399" i="8"/>
  <c r="N397" i="8"/>
  <c r="N395" i="8" s="1"/>
  <c r="M397" i="8"/>
  <c r="L397" i="8"/>
  <c r="P396" i="8"/>
  <c r="O396" i="8"/>
  <c r="N394" i="8"/>
  <c r="N392" i="8" s="1"/>
  <c r="M394" i="8"/>
  <c r="L394" i="8"/>
  <c r="L392" i="8" s="1"/>
  <c r="O392" i="8" s="1"/>
  <c r="P393" i="8"/>
  <c r="O393" i="8"/>
  <c r="P390" i="8"/>
  <c r="O390" i="8"/>
  <c r="N390" i="8"/>
  <c r="M390" i="8"/>
  <c r="L390" i="8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M353" i="8"/>
  <c r="L353" i="8"/>
  <c r="L351" i="8" s="1"/>
  <c r="P352" i="8"/>
  <c r="O352" i="8"/>
  <c r="N350" i="8"/>
  <c r="M350" i="8"/>
  <c r="M348" i="8" s="1"/>
  <c r="L350" i="8"/>
  <c r="L348" i="8" s="1"/>
  <c r="P349" i="8"/>
  <c r="O349" i="8"/>
  <c r="O346" i="8"/>
  <c r="N346" i="8"/>
  <c r="M346" i="8"/>
  <c r="P346" i="8" s="1"/>
  <c r="L346" i="8"/>
  <c r="J343" i="8"/>
  <c r="J342" i="8"/>
  <c r="J341" i="8"/>
  <c r="J340" i="8"/>
  <c r="I340" i="8"/>
  <c r="J338" i="8"/>
  <c r="I338" i="8"/>
  <c r="N336" i="8"/>
  <c r="N334" i="8" s="1"/>
  <c r="M336" i="8"/>
  <c r="M334" i="8" s="1"/>
  <c r="P334" i="8" s="1"/>
  <c r="L336" i="8"/>
  <c r="L334" i="8" s="1"/>
  <c r="O334" i="8" s="1"/>
  <c r="P335" i="8"/>
  <c r="O335" i="8"/>
  <c r="N333" i="8"/>
  <c r="N331" i="8" s="1"/>
  <c r="M333" i="8"/>
  <c r="L333" i="8"/>
  <c r="P332" i="8"/>
  <c r="O332" i="8"/>
  <c r="P329" i="8"/>
  <c r="O329" i="8"/>
  <c r="N329" i="8"/>
  <c r="M329" i="8"/>
  <c r="L329" i="8"/>
  <c r="I327" i="8"/>
  <c r="I325" i="8"/>
  <c r="K325" i="8" s="1"/>
  <c r="N323" i="8"/>
  <c r="N321" i="8" s="1"/>
  <c r="M323" i="8"/>
  <c r="P323" i="8" s="1"/>
  <c r="L323" i="8"/>
  <c r="O323" i="8" s="1"/>
  <c r="P322" i="8"/>
  <c r="O322" i="8"/>
  <c r="N320" i="8"/>
  <c r="N318" i="8" s="1"/>
  <c r="M320" i="8"/>
  <c r="M318" i="8" s="1"/>
  <c r="P318" i="8" s="1"/>
  <c r="L320" i="8"/>
  <c r="P319" i="8"/>
  <c r="O319" i="8"/>
  <c r="P316" i="8"/>
  <c r="N316" i="8"/>
  <c r="M316" i="8"/>
  <c r="L316" i="8"/>
  <c r="O316" i="8" s="1"/>
  <c r="J314" i="8"/>
  <c r="I312" i="8"/>
  <c r="K312" i="8" s="1"/>
  <c r="I311" i="8"/>
  <c r="K311" i="8" s="1"/>
  <c r="I310" i="8"/>
  <c r="K310" i="8" s="1"/>
  <c r="I309" i="8"/>
  <c r="N306" i="8"/>
  <c r="M306" i="8"/>
  <c r="P306" i="8" s="1"/>
  <c r="L306" i="8"/>
  <c r="P305" i="8"/>
  <c r="O305" i="8"/>
  <c r="N303" i="8"/>
  <c r="N301" i="8" s="1"/>
  <c r="M303" i="8"/>
  <c r="L303" i="8"/>
  <c r="L301" i="8" s="1"/>
  <c r="P302" i="8"/>
  <c r="O302" i="8"/>
  <c r="N299" i="8"/>
  <c r="M299" i="8"/>
  <c r="P299" i="8" s="1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87" i="8"/>
  <c r="K287" i="8" s="1"/>
  <c r="N285" i="8"/>
  <c r="N283" i="8" s="1"/>
  <c r="M285" i="8"/>
  <c r="L285" i="8"/>
  <c r="L283" i="8" s="1"/>
  <c r="O283" i="8" s="1"/>
  <c r="P284" i="8"/>
  <c r="O284" i="8"/>
  <c r="N282" i="8"/>
  <c r="M282" i="8"/>
  <c r="L282" i="8"/>
  <c r="L280" i="8" s="1"/>
  <c r="P281" i="8"/>
  <c r="O281" i="8"/>
  <c r="O278" i="8"/>
  <c r="N278" i="8"/>
  <c r="M278" i="8"/>
  <c r="L278" i="8"/>
  <c r="J276" i="8"/>
  <c r="I271" i="8"/>
  <c r="K271" i="8" s="1"/>
  <c r="N269" i="8"/>
  <c r="N267" i="8" s="1"/>
  <c r="M269" i="8"/>
  <c r="L269" i="8"/>
  <c r="P268" i="8"/>
  <c r="O268" i="8"/>
  <c r="N266" i="8"/>
  <c r="N264" i="8" s="1"/>
  <c r="M266" i="8"/>
  <c r="L266" i="8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L242" i="8"/>
  <c r="L241" i="8"/>
  <c r="L240" i="8"/>
  <c r="L239" i="8"/>
  <c r="P238" i="8"/>
  <c r="N238" i="8"/>
  <c r="N227" i="8" s="1"/>
  <c r="J237" i="8"/>
  <c r="J226" i="8" s="1"/>
  <c r="K236" i="8"/>
  <c r="J236" i="8"/>
  <c r="I236" i="8"/>
  <c r="K235" i="8"/>
  <c r="J235" i="8"/>
  <c r="I235" i="8"/>
  <c r="J233" i="8"/>
  <c r="N231" i="8"/>
  <c r="N230" i="8"/>
  <c r="N229" i="8"/>
  <c r="N228" i="8"/>
  <c r="I225" i="8"/>
  <c r="K225" i="8" s="1"/>
  <c r="I224" i="8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K204" i="8" s="1"/>
  <c r="L202" i="8"/>
  <c r="L201" i="8"/>
  <c r="N200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P188" i="8"/>
  <c r="O188" i="8"/>
  <c r="N186" i="8"/>
  <c r="M186" i="8"/>
  <c r="L186" i="8"/>
  <c r="P185" i="8"/>
  <c r="O185" i="8"/>
  <c r="O182" i="8"/>
  <c r="N182" i="8"/>
  <c r="M182" i="8"/>
  <c r="L182" i="8"/>
  <c r="J180" i="8"/>
  <c r="J177" i="8"/>
  <c r="I176" i="8"/>
  <c r="J174" i="8"/>
  <c r="N173" i="8"/>
  <c r="N171" i="8" s="1"/>
  <c r="M173" i="8"/>
  <c r="L173" i="8"/>
  <c r="P172" i="8"/>
  <c r="O172" i="8"/>
  <c r="N170" i="8"/>
  <c r="N168" i="8" s="1"/>
  <c r="M170" i="8"/>
  <c r="L170" i="8"/>
  <c r="P169" i="8"/>
  <c r="O169" i="8"/>
  <c r="O166" i="8"/>
  <c r="N166" i="8"/>
  <c r="M166" i="8"/>
  <c r="P166" i="8" s="1"/>
  <c r="L166" i="8"/>
  <c r="J164" i="8"/>
  <c r="I159" i="8"/>
  <c r="N157" i="8"/>
  <c r="N155" i="8" s="1"/>
  <c r="M157" i="8"/>
  <c r="P157" i="8" s="1"/>
  <c r="L157" i="8"/>
  <c r="O157" i="8" s="1"/>
  <c r="P156" i="8"/>
  <c r="O156" i="8"/>
  <c r="N154" i="8"/>
  <c r="N152" i="8" s="1"/>
  <c r="M154" i="8"/>
  <c r="L154" i="8"/>
  <c r="P153" i="8"/>
  <c r="O153" i="8"/>
  <c r="P150" i="8"/>
  <c r="O150" i="8"/>
  <c r="N150" i="8"/>
  <c r="M150" i="8"/>
  <c r="L150" i="8"/>
  <c r="J148" i="8"/>
  <c r="I146" i="8"/>
  <c r="I145" i="8"/>
  <c r="I144" i="8"/>
  <c r="N140" i="8"/>
  <c r="N138" i="8" s="1"/>
  <c r="M140" i="8"/>
  <c r="L140" i="8"/>
  <c r="P139" i="8"/>
  <c r="O139" i="8"/>
  <c r="N137" i="8"/>
  <c r="N135" i="8" s="1"/>
  <c r="M137" i="8"/>
  <c r="L137" i="8"/>
  <c r="P136" i="8"/>
  <c r="O136" i="8"/>
  <c r="P133" i="8"/>
  <c r="N133" i="8"/>
  <c r="M133" i="8"/>
  <c r="L133" i="8"/>
  <c r="O133" i="8" s="1"/>
  <c r="J130" i="8"/>
  <c r="N127" i="8"/>
  <c r="N125" i="8" s="1"/>
  <c r="M127" i="8"/>
  <c r="L127" i="8"/>
  <c r="O127" i="8" s="1"/>
  <c r="P126" i="8"/>
  <c r="O126" i="8"/>
  <c r="N124" i="8"/>
  <c r="N122" i="8" s="1"/>
  <c r="M124" i="8"/>
  <c r="L124" i="8"/>
  <c r="O124" i="8" s="1"/>
  <c r="P123" i="8"/>
  <c r="O123" i="8"/>
  <c r="P120" i="8"/>
  <c r="O120" i="8"/>
  <c r="N120" i="8"/>
  <c r="M120" i="8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I87" i="8" s="1"/>
  <c r="K87" i="8" s="1"/>
  <c r="J98" i="8"/>
  <c r="I98" i="8"/>
  <c r="K98" i="8" s="1"/>
  <c r="N96" i="8"/>
  <c r="N94" i="8" s="1"/>
  <c r="M96" i="8"/>
  <c r="L96" i="8"/>
  <c r="O96" i="8" s="1"/>
  <c r="P95" i="8"/>
  <c r="O95" i="8"/>
  <c r="N93" i="8"/>
  <c r="N91" i="8" s="1"/>
  <c r="M93" i="8"/>
  <c r="M91" i="8" s="1"/>
  <c r="L93" i="8"/>
  <c r="P92" i="8"/>
  <c r="O92" i="8"/>
  <c r="O89" i="8"/>
  <c r="N89" i="8"/>
  <c r="M89" i="8"/>
  <c r="P89" i="8" s="1"/>
  <c r="L89" i="8"/>
  <c r="J87" i="8"/>
  <c r="J86" i="8"/>
  <c r="I84" i="8"/>
  <c r="K84" i="8" s="1"/>
  <c r="I83" i="8"/>
  <c r="K83" i="8" s="1"/>
  <c r="I82" i="8"/>
  <c r="K82" i="8" s="1"/>
  <c r="I81" i="8"/>
  <c r="K81" i="8" s="1"/>
  <c r="I80" i="8"/>
  <c r="I79" i="8"/>
  <c r="K79" i="8" s="1"/>
  <c r="I78" i="8"/>
  <c r="K78" i="8" s="1"/>
  <c r="J77" i="8"/>
  <c r="J65" i="8" s="1"/>
  <c r="J76" i="8"/>
  <c r="N74" i="8"/>
  <c r="N72" i="8" s="1"/>
  <c r="M74" i="8"/>
  <c r="M72" i="8" s="1"/>
  <c r="P72" i="8" s="1"/>
  <c r="L74" i="8"/>
  <c r="O74" i="8" s="1"/>
  <c r="P73" i="8"/>
  <c r="O73" i="8"/>
  <c r="N71" i="8"/>
  <c r="N69" i="8" s="1"/>
  <c r="M71" i="8"/>
  <c r="M69" i="8" s="1"/>
  <c r="L71" i="8"/>
  <c r="P70" i="8"/>
  <c r="O70" i="8"/>
  <c r="P67" i="8"/>
  <c r="N67" i="8"/>
  <c r="M67" i="8"/>
  <c r="L67" i="8"/>
  <c r="O67" i="8" s="1"/>
  <c r="J64" i="8"/>
  <c r="N61" i="8"/>
  <c r="N59" i="8" s="1"/>
  <c r="M61" i="8"/>
  <c r="L61" i="8"/>
  <c r="O61" i="8" s="1"/>
  <c r="P60" i="8"/>
  <c r="O60" i="8"/>
  <c r="N58" i="8"/>
  <c r="N56" i="8" s="1"/>
  <c r="M58" i="8"/>
  <c r="M56" i="8" s="1"/>
  <c r="L58" i="8"/>
  <c r="L56" i="8" s="1"/>
  <c r="P57" i="8"/>
  <c r="O57" i="8"/>
  <c r="N54" i="8"/>
  <c r="M54" i="8"/>
  <c r="P54" i="8" s="1"/>
  <c r="L54" i="8"/>
  <c r="O54" i="8" s="1"/>
  <c r="N49" i="8"/>
  <c r="N47" i="8" s="1"/>
  <c r="M49" i="8"/>
  <c r="M47" i="8" s="1"/>
  <c r="P47" i="8" s="1"/>
  <c r="L49" i="8"/>
  <c r="P48" i="8"/>
  <c r="O48" i="8"/>
  <c r="N46" i="8"/>
  <c r="N44" i="8" s="1"/>
  <c r="M46" i="8"/>
  <c r="M44" i="8" s="1"/>
  <c r="L46" i="8"/>
  <c r="P45" i="8"/>
  <c r="O45" i="8"/>
  <c r="N42" i="8"/>
  <c r="M42" i="8"/>
  <c r="P42" i="8" s="1"/>
  <c r="L42" i="8"/>
  <c r="O42" i="8" s="1"/>
  <c r="N36" i="8"/>
  <c r="M36" i="8"/>
  <c r="M30" i="8" s="1"/>
  <c r="P30" i="8" s="1"/>
  <c r="P35" i="8"/>
  <c r="N35" i="8"/>
  <c r="N34" i="8" s="1"/>
  <c r="M35" i="8"/>
  <c r="L35" i="8"/>
  <c r="M34" i="8"/>
  <c r="P34" i="8" s="1"/>
  <c r="P33" i="8"/>
  <c r="N33" i="8"/>
  <c r="N30" i="8" s="1"/>
  <c r="M33" i="8"/>
  <c r="O32" i="8"/>
  <c r="N32" i="8"/>
  <c r="N29" i="8" s="1"/>
  <c r="N28" i="8" s="1"/>
  <c r="M32" i="8"/>
  <c r="L32" i="8"/>
  <c r="M31" i="8"/>
  <c r="P31" i="8" s="1"/>
  <c r="O29" i="8"/>
  <c r="L29" i="8"/>
  <c r="O25" i="8"/>
  <c r="N25" i="8"/>
  <c r="N15" i="8" s="1"/>
  <c r="M25" i="8"/>
  <c r="M19" i="8" s="1"/>
  <c r="L25" i="8"/>
  <c r="P22" i="8"/>
  <c r="O22" i="8"/>
  <c r="N22" i="8"/>
  <c r="N19" i="8" s="1"/>
  <c r="M22" i="8"/>
  <c r="L22" i="8"/>
  <c r="L19" i="8"/>
  <c r="O19" i="8" s="1"/>
  <c r="L15" i="8"/>
  <c r="M12" i="8"/>
  <c r="L12" i="8"/>
  <c r="O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N805" i="7" s="1"/>
  <c r="P809" i="7"/>
  <c r="O809" i="7"/>
  <c r="N808" i="7"/>
  <c r="M808" i="7"/>
  <c r="P808" i="7" s="1"/>
  <c r="L808" i="7"/>
  <c r="O808" i="7" s="1"/>
  <c r="M807" i="7"/>
  <c r="P807" i="7" s="1"/>
  <c r="L807" i="7"/>
  <c r="O807" i="7" s="1"/>
  <c r="P806" i="7"/>
  <c r="N806" i="7"/>
  <c r="M806" i="7"/>
  <c r="M805" i="7" s="1"/>
  <c r="P805" i="7" s="1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P796" i="7"/>
  <c r="N796" i="7"/>
  <c r="M796" i="7"/>
  <c r="L796" i="7"/>
  <c r="O796" i="7" s="1"/>
  <c r="P791" i="7"/>
  <c r="N791" i="7"/>
  <c r="L791" i="7"/>
  <c r="L788" i="7" s="1"/>
  <c r="L786" i="7" s="1"/>
  <c r="P790" i="7"/>
  <c r="O790" i="7"/>
  <c r="P789" i="7"/>
  <c r="N789" i="7"/>
  <c r="M789" i="7"/>
  <c r="P788" i="7"/>
  <c r="N788" i="7"/>
  <c r="M788" i="7"/>
  <c r="O787" i="7"/>
  <c r="N787" i="7"/>
  <c r="M787" i="7"/>
  <c r="M786" i="7" s="1"/>
  <c r="P786" i="7" s="1"/>
  <c r="L787" i="7"/>
  <c r="N786" i="7"/>
  <c r="P782" i="7"/>
  <c r="O782" i="7"/>
  <c r="P781" i="7"/>
  <c r="O781" i="7"/>
  <c r="N780" i="7"/>
  <c r="M780" i="7"/>
  <c r="P780" i="7" s="1"/>
  <c r="L780" i="7"/>
  <c r="O780" i="7" s="1"/>
  <c r="P775" i="7"/>
  <c r="O775" i="7"/>
  <c r="N775" i="7"/>
  <c r="N773" i="7" s="1"/>
  <c r="P774" i="7"/>
  <c r="O774" i="7"/>
  <c r="P773" i="7"/>
  <c r="M773" i="7"/>
  <c r="L773" i="7"/>
  <c r="O773" i="7" s="1"/>
  <c r="P772" i="7"/>
  <c r="O772" i="7"/>
  <c r="N772" i="7"/>
  <c r="M772" i="7"/>
  <c r="L772" i="7"/>
  <c r="P771" i="7"/>
  <c r="O771" i="7"/>
  <c r="N771" i="7"/>
  <c r="N770" i="7" s="1"/>
  <c r="M771" i="7"/>
  <c r="L771" i="7"/>
  <c r="O770" i="7"/>
  <c r="M770" i="7"/>
  <c r="P770" i="7" s="1"/>
  <c r="L770" i="7"/>
  <c r="K769" i="7"/>
  <c r="J769" i="7"/>
  <c r="P766" i="7"/>
  <c r="O766" i="7"/>
  <c r="P765" i="7"/>
  <c r="O765" i="7"/>
  <c r="N764" i="7"/>
  <c r="M764" i="7"/>
  <c r="P764" i="7" s="1"/>
  <c r="L764" i="7"/>
  <c r="O764" i="7" s="1"/>
  <c r="P759" i="7"/>
  <c r="O759" i="7"/>
  <c r="N759" i="7"/>
  <c r="P758" i="7"/>
  <c r="O758" i="7"/>
  <c r="P757" i="7"/>
  <c r="N757" i="7"/>
  <c r="M757" i="7"/>
  <c r="L757" i="7"/>
  <c r="O757" i="7" s="1"/>
  <c r="P756" i="7"/>
  <c r="O756" i="7"/>
  <c r="N756" i="7"/>
  <c r="M756" i="7"/>
  <c r="L756" i="7"/>
  <c r="P755" i="7"/>
  <c r="O755" i="7"/>
  <c r="N755" i="7"/>
  <c r="N754" i="7" s="1"/>
  <c r="M755" i="7"/>
  <c r="L755" i="7"/>
  <c r="O754" i="7"/>
  <c r="M754" i="7"/>
  <c r="P754" i="7" s="1"/>
  <c r="L754" i="7"/>
  <c r="K753" i="7"/>
  <c r="J753" i="7"/>
  <c r="P749" i="7"/>
  <c r="O749" i="7"/>
  <c r="P748" i="7"/>
  <c r="O748" i="7"/>
  <c r="N747" i="7"/>
  <c r="M747" i="7"/>
  <c r="P747" i="7" s="1"/>
  <c r="L747" i="7"/>
  <c r="O747" i="7" s="1"/>
  <c r="P742" i="7"/>
  <c r="O742" i="7"/>
  <c r="N742" i="7"/>
  <c r="N740" i="7" s="1"/>
  <c r="P741" i="7"/>
  <c r="O741" i="7"/>
  <c r="P740" i="7"/>
  <c r="M740" i="7"/>
  <c r="L740" i="7"/>
  <c r="O740" i="7" s="1"/>
  <c r="P739" i="7"/>
  <c r="O739" i="7"/>
  <c r="N739" i="7"/>
  <c r="M739" i="7"/>
  <c r="L739" i="7"/>
  <c r="P738" i="7"/>
  <c r="O738" i="7"/>
  <c r="N738" i="7"/>
  <c r="N737" i="7" s="1"/>
  <c r="M738" i="7"/>
  <c r="L738" i="7"/>
  <c r="O737" i="7"/>
  <c r="M737" i="7"/>
  <c r="P737" i="7" s="1"/>
  <c r="L737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N695" i="7"/>
  <c r="M695" i="7"/>
  <c r="P695" i="7" s="1"/>
  <c r="L695" i="7"/>
  <c r="O695" i="7" s="1"/>
  <c r="P690" i="7"/>
  <c r="N690" i="7"/>
  <c r="L690" i="7"/>
  <c r="P688" i="7"/>
  <c r="N688" i="7"/>
  <c r="M688" i="7"/>
  <c r="P687" i="7"/>
  <c r="N687" i="7"/>
  <c r="M687" i="7"/>
  <c r="O686" i="7"/>
  <c r="N686" i="7"/>
  <c r="M686" i="7"/>
  <c r="M685" i="7" s="1"/>
  <c r="P685" i="7" s="1"/>
  <c r="L686" i="7"/>
  <c r="N685" i="7"/>
  <c r="J679" i="7"/>
  <c r="J678" i="7" s="1"/>
  <c r="I678" i="7"/>
  <c r="K678" i="7" s="1"/>
  <c r="J675" i="7"/>
  <c r="J669" i="7" s="1"/>
  <c r="J654" i="7" s="1"/>
  <c r="I671" i="7"/>
  <c r="K671" i="7" s="1"/>
  <c r="I670" i="7"/>
  <c r="K670" i="7" s="1"/>
  <c r="I669" i="7"/>
  <c r="P667" i="7"/>
  <c r="O667" i="7"/>
  <c r="P666" i="7"/>
  <c r="O666" i="7"/>
  <c r="O665" i="7"/>
  <c r="N665" i="7"/>
  <c r="M665" i="7"/>
  <c r="P665" i="7" s="1"/>
  <c r="L665" i="7"/>
  <c r="P660" i="7"/>
  <c r="N660" i="7"/>
  <c r="N657" i="7" s="1"/>
  <c r="N655" i="7" s="1"/>
  <c r="L660" i="7"/>
  <c r="P659" i="7"/>
  <c r="O659" i="7"/>
  <c r="M658" i="7"/>
  <c r="P658" i="7" s="1"/>
  <c r="M657" i="7"/>
  <c r="P656" i="7"/>
  <c r="N656" i="7"/>
  <c r="M656" i="7"/>
  <c r="L656" i="7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P639" i="7"/>
  <c r="N639" i="7"/>
  <c r="M639" i="7"/>
  <c r="N638" i="7"/>
  <c r="N636" i="7"/>
  <c r="N634" i="7" s="1"/>
  <c r="P634" i="7"/>
  <c r="L634" i="7"/>
  <c r="P633" i="7"/>
  <c r="O633" i="7"/>
  <c r="P632" i="7"/>
  <c r="M632" i="7"/>
  <c r="P631" i="7"/>
  <c r="M631" i="7"/>
  <c r="P630" i="7"/>
  <c r="O630" i="7"/>
  <c r="N630" i="7"/>
  <c r="M630" i="7"/>
  <c r="M629" i="7" s="1"/>
  <c r="P629" i="7" s="1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5" i="7"/>
  <c r="J594" i="7"/>
  <c r="I594" i="7"/>
  <c r="K594" i="7" s="1"/>
  <c r="J593" i="7"/>
  <c r="I593" i="7"/>
  <c r="I592" i="7" s="1"/>
  <c r="K592" i="7" s="1"/>
  <c r="J592" i="7"/>
  <c r="J583" i="7"/>
  <c r="J577" i="7" s="1"/>
  <c r="J582" i="7"/>
  <c r="I577" i="7"/>
  <c r="J576" i="7"/>
  <c r="J559" i="7" s="1"/>
  <c r="J543" i="7" s="1"/>
  <c r="I576" i="7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P557" i="7"/>
  <c r="L557" i="7"/>
  <c r="P556" i="7"/>
  <c r="O556" i="7"/>
  <c r="P555" i="7"/>
  <c r="N555" i="7"/>
  <c r="M555" i="7"/>
  <c r="N553" i="7"/>
  <c r="N552" i="7"/>
  <c r="N551" i="7"/>
  <c r="N549" i="7" s="1"/>
  <c r="P549" i="7"/>
  <c r="L549" i="7"/>
  <c r="L547" i="7" s="1"/>
  <c r="P548" i="7"/>
  <c r="O548" i="7"/>
  <c r="P547" i="7"/>
  <c r="M547" i="7"/>
  <c r="P546" i="7"/>
  <c r="M546" i="7"/>
  <c r="P545" i="7"/>
  <c r="O545" i="7"/>
  <c r="N545" i="7"/>
  <c r="M545" i="7"/>
  <c r="L545" i="7"/>
  <c r="M544" i="7"/>
  <c r="P544" i="7" s="1"/>
  <c r="I542" i="7"/>
  <c r="K542" i="7" s="1"/>
  <c r="I541" i="7"/>
  <c r="K541" i="7" s="1"/>
  <c r="I540" i="7"/>
  <c r="I539" i="7"/>
  <c r="K539" i="7" s="1"/>
  <c r="I538" i="7"/>
  <c r="K538" i="7" s="1"/>
  <c r="I537" i="7"/>
  <c r="I522" i="7" s="1"/>
  <c r="K522" i="7" s="1"/>
  <c r="P535" i="7"/>
  <c r="L535" i="7"/>
  <c r="P534" i="7"/>
  <c r="O534" i="7"/>
  <c r="P533" i="7"/>
  <c r="N533" i="7"/>
  <c r="M533" i="7"/>
  <c r="P528" i="7"/>
  <c r="N528" i="7"/>
  <c r="N525" i="7" s="1"/>
  <c r="L528" i="7"/>
  <c r="O528" i="7" s="1"/>
  <c r="P527" i="7"/>
  <c r="O527" i="7"/>
  <c r="P526" i="7"/>
  <c r="N526" i="7"/>
  <c r="M526" i="7"/>
  <c r="M525" i="7"/>
  <c r="P525" i="7" s="1"/>
  <c r="N524" i="7"/>
  <c r="N523" i="7" s="1"/>
  <c r="M524" i="7"/>
  <c r="P524" i="7" s="1"/>
  <c r="L524" i="7"/>
  <c r="M523" i="7"/>
  <c r="P523" i="7" s="1"/>
  <c r="K517" i="7"/>
  <c r="J517" i="7"/>
  <c r="J501" i="7" s="1"/>
  <c r="K516" i="7"/>
  <c r="P514" i="7"/>
  <c r="O514" i="7"/>
  <c r="P513" i="7"/>
  <c r="O513" i="7"/>
  <c r="P512" i="7"/>
  <c r="O512" i="7"/>
  <c r="N512" i="7"/>
  <c r="M512" i="7"/>
  <c r="L512" i="7"/>
  <c r="P507" i="7"/>
  <c r="O507" i="7"/>
  <c r="N507" i="7"/>
  <c r="N504" i="7" s="1"/>
  <c r="N502" i="7" s="1"/>
  <c r="P506" i="7"/>
  <c r="O506" i="7"/>
  <c r="N505" i="7"/>
  <c r="M505" i="7"/>
  <c r="P505" i="7" s="1"/>
  <c r="L505" i="7"/>
  <c r="O505" i="7" s="1"/>
  <c r="M504" i="7"/>
  <c r="L504" i="7"/>
  <c r="O504" i="7" s="1"/>
  <c r="P503" i="7"/>
  <c r="N503" i="7"/>
  <c r="M503" i="7"/>
  <c r="L503" i="7"/>
  <c r="K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5" i="7"/>
  <c r="P472" i="7"/>
  <c r="N472" i="7"/>
  <c r="L472" i="7"/>
  <c r="L470" i="7" s="1"/>
  <c r="O470" i="7" s="1"/>
  <c r="P471" i="7"/>
  <c r="O471" i="7"/>
  <c r="N470" i="7"/>
  <c r="M470" i="7"/>
  <c r="P470" i="7" s="1"/>
  <c r="N469" i="7"/>
  <c r="N467" i="7" s="1"/>
  <c r="M469" i="7"/>
  <c r="P469" i="7" s="1"/>
  <c r="N468" i="7"/>
  <c r="M468" i="7"/>
  <c r="L468" i="7"/>
  <c r="O468" i="7" s="1"/>
  <c r="J466" i="7"/>
  <c r="I466" i="7"/>
  <c r="K466" i="7" s="1"/>
  <c r="J465" i="7"/>
  <c r="I465" i="7"/>
  <c r="K465" i="7" s="1"/>
  <c r="I464" i="7"/>
  <c r="I463" i="7"/>
  <c r="I462" i="7"/>
  <c r="I460" i="7"/>
  <c r="K458" i="7"/>
  <c r="P456" i="7"/>
  <c r="L456" i="7"/>
  <c r="L454" i="7" s="1"/>
  <c r="O454" i="7" s="1"/>
  <c r="P455" i="7"/>
  <c r="O455" i="7"/>
  <c r="P454" i="7"/>
  <c r="N454" i="7"/>
  <c r="M454" i="7"/>
  <c r="P449" i="7"/>
  <c r="N449" i="7"/>
  <c r="N446" i="7" s="1"/>
  <c r="L449" i="7"/>
  <c r="O449" i="7" s="1"/>
  <c r="P448" i="7"/>
  <c r="O448" i="7"/>
  <c r="P447" i="7"/>
  <c r="N447" i="7"/>
  <c r="M447" i="7"/>
  <c r="M446" i="7"/>
  <c r="P446" i="7" s="1"/>
  <c r="N445" i="7"/>
  <c r="M445" i="7"/>
  <c r="P445" i="7" s="1"/>
  <c r="L445" i="7"/>
  <c r="M444" i="7"/>
  <c r="P444" i="7" s="1"/>
  <c r="J443" i="7"/>
  <c r="J442" i="7"/>
  <c r="I441" i="7"/>
  <c r="K441" i="7" s="1"/>
  <c r="I440" i="7"/>
  <c r="K440" i="7" s="1"/>
  <c r="I439" i="7"/>
  <c r="K439" i="7" s="1"/>
  <c r="I438" i="7"/>
  <c r="I437" i="7"/>
  <c r="K437" i="7" s="1"/>
  <c r="I435" i="7"/>
  <c r="J434" i="7"/>
  <c r="P431" i="7"/>
  <c r="L431" i="7"/>
  <c r="L429" i="7" s="1"/>
  <c r="O429" i="7" s="1"/>
  <c r="P430" i="7"/>
  <c r="O430" i="7"/>
  <c r="P429" i="7"/>
  <c r="N429" i="7"/>
  <c r="M429" i="7"/>
  <c r="P424" i="7"/>
  <c r="N424" i="7"/>
  <c r="N421" i="7" s="1"/>
  <c r="L424" i="7"/>
  <c r="O424" i="7" s="1"/>
  <c r="P423" i="7"/>
  <c r="O423" i="7"/>
  <c r="P422" i="7"/>
  <c r="N422" i="7"/>
  <c r="M422" i="7"/>
  <c r="M421" i="7"/>
  <c r="P421" i="7" s="1"/>
  <c r="N420" i="7"/>
  <c r="N419" i="7" s="1"/>
  <c r="M420" i="7"/>
  <c r="P420" i="7" s="1"/>
  <c r="L420" i="7"/>
  <c r="P419" i="7"/>
  <c r="M419" i="7"/>
  <c r="J418" i="7"/>
  <c r="K413" i="7"/>
  <c r="K412" i="7"/>
  <c r="N410" i="7"/>
  <c r="N408" i="7" s="1"/>
  <c r="M410" i="7"/>
  <c r="M408" i="7" s="1"/>
  <c r="P408" i="7" s="1"/>
  <c r="L410" i="7"/>
  <c r="L408" i="7" s="1"/>
  <c r="O408" i="7" s="1"/>
  <c r="P409" i="7"/>
  <c r="O409" i="7"/>
  <c r="N407" i="7"/>
  <c r="M407" i="7"/>
  <c r="M405" i="7" s="1"/>
  <c r="P405" i="7" s="1"/>
  <c r="L407" i="7"/>
  <c r="P406" i="7"/>
  <c r="O406" i="7"/>
  <c r="P403" i="7"/>
  <c r="O403" i="7"/>
  <c r="N403" i="7"/>
  <c r="M403" i="7"/>
  <c r="L403" i="7"/>
  <c r="J401" i="7"/>
  <c r="I401" i="7"/>
  <c r="K401" i="7" s="1"/>
  <c r="K400" i="7"/>
  <c r="K399" i="7"/>
  <c r="N397" i="7"/>
  <c r="N395" i="7" s="1"/>
  <c r="M397" i="7"/>
  <c r="L397" i="7"/>
  <c r="L395" i="7" s="1"/>
  <c r="O395" i="7" s="1"/>
  <c r="P396" i="7"/>
  <c r="O396" i="7"/>
  <c r="N394" i="7"/>
  <c r="M394" i="7"/>
  <c r="M392" i="7" s="1"/>
  <c r="P392" i="7" s="1"/>
  <c r="L394" i="7"/>
  <c r="L392" i="7" s="1"/>
  <c r="O392" i="7" s="1"/>
  <c r="P393" i="7"/>
  <c r="O393" i="7"/>
  <c r="N390" i="7"/>
  <c r="M390" i="7"/>
  <c r="P390" i="7" s="1"/>
  <c r="L390" i="7"/>
  <c r="K388" i="7"/>
  <c r="J388" i="7"/>
  <c r="I388" i="7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J355" i="7" s="1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L353" i="7"/>
  <c r="L351" i="7" s="1"/>
  <c r="P352" i="7"/>
  <c r="O352" i="7"/>
  <c r="N350" i="7"/>
  <c r="M350" i="7"/>
  <c r="M348" i="7" s="1"/>
  <c r="L350" i="7"/>
  <c r="P349" i="7"/>
  <c r="O349" i="7"/>
  <c r="N346" i="7"/>
  <c r="M346" i="7"/>
  <c r="P346" i="7" s="1"/>
  <c r="L346" i="7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P335" i="7"/>
  <c r="O335" i="7"/>
  <c r="N333" i="7"/>
  <c r="N331" i="7" s="1"/>
  <c r="M333" i="7"/>
  <c r="L333" i="7"/>
  <c r="L331" i="7" s="1"/>
  <c r="P332" i="7"/>
  <c r="O332" i="7"/>
  <c r="N329" i="7"/>
  <c r="M329" i="7"/>
  <c r="P329" i="7" s="1"/>
  <c r="L329" i="7"/>
  <c r="O329" i="7" s="1"/>
  <c r="I327" i="7"/>
  <c r="I325" i="7"/>
  <c r="K325" i="7" s="1"/>
  <c r="N323" i="7"/>
  <c r="M323" i="7"/>
  <c r="P323" i="7" s="1"/>
  <c r="L323" i="7"/>
  <c r="L321" i="7" s="1"/>
  <c r="O321" i="7" s="1"/>
  <c r="P322" i="7"/>
  <c r="O322" i="7"/>
  <c r="N320" i="7"/>
  <c r="N318" i="7" s="1"/>
  <c r="M320" i="7"/>
  <c r="L320" i="7"/>
  <c r="L318" i="7" s="1"/>
  <c r="O318" i="7" s="1"/>
  <c r="P319" i="7"/>
  <c r="O319" i="7"/>
  <c r="O316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I297" i="7" s="1"/>
  <c r="K297" i="7" s="1"/>
  <c r="N306" i="7"/>
  <c r="N304" i="7" s="1"/>
  <c r="M306" i="7"/>
  <c r="P306" i="7" s="1"/>
  <c r="L306" i="7"/>
  <c r="P305" i="7"/>
  <c r="O305" i="7"/>
  <c r="N303" i="7"/>
  <c r="N301" i="7" s="1"/>
  <c r="M303" i="7"/>
  <c r="L303" i="7"/>
  <c r="P302" i="7"/>
  <c r="O302" i="7"/>
  <c r="O299" i="7"/>
  <c r="N299" i="7"/>
  <c r="M299" i="7"/>
  <c r="P299" i="7" s="1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87" i="7"/>
  <c r="K287" i="7" s="1"/>
  <c r="N285" i="7"/>
  <c r="N283" i="7" s="1"/>
  <c r="M285" i="7"/>
  <c r="L285" i="7"/>
  <c r="L283" i="7" s="1"/>
  <c r="O283" i="7" s="1"/>
  <c r="P284" i="7"/>
  <c r="O284" i="7"/>
  <c r="N282" i="7"/>
  <c r="M282" i="7"/>
  <c r="L282" i="7"/>
  <c r="L280" i="7" s="1"/>
  <c r="P281" i="7"/>
  <c r="O281" i="7"/>
  <c r="P278" i="7"/>
  <c r="N278" i="7"/>
  <c r="M278" i="7"/>
  <c r="L278" i="7"/>
  <c r="J276" i="7"/>
  <c r="I271" i="7"/>
  <c r="N269" i="7"/>
  <c r="M269" i="7"/>
  <c r="P269" i="7" s="1"/>
  <c r="L269" i="7"/>
  <c r="P268" i="7"/>
  <c r="O268" i="7"/>
  <c r="N266" i="7"/>
  <c r="M266" i="7"/>
  <c r="L266" i="7"/>
  <c r="P265" i="7"/>
  <c r="O265" i="7"/>
  <c r="O262" i="7"/>
  <c r="N262" i="7"/>
  <c r="M262" i="7"/>
  <c r="P262" i="7" s="1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N227" i="7" s="1"/>
  <c r="J237" i="7"/>
  <c r="J226" i="7" s="1"/>
  <c r="J180" i="7" s="1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K215" i="7" s="1"/>
  <c r="I214" i="7"/>
  <c r="K214" i="7" s="1"/>
  <c r="L212" i="7"/>
  <c r="L211" i="7"/>
  <c r="L210" i="7"/>
  <c r="P209" i="7"/>
  <c r="N209" i="7"/>
  <c r="J208" i="7"/>
  <c r="K207" i="7"/>
  <c r="K206" i="7"/>
  <c r="I204" i="7"/>
  <c r="K204" i="7" s="1"/>
  <c r="L202" i="7"/>
  <c r="L201" i="7"/>
  <c r="L200" i="7"/>
  <c r="L199" i="7"/>
  <c r="P198" i="7"/>
  <c r="N198" i="7"/>
  <c r="J197" i="7"/>
  <c r="J194" i="7"/>
  <c r="I193" i="7"/>
  <c r="I190" i="7" s="1"/>
  <c r="P191" i="7"/>
  <c r="L191" i="7"/>
  <c r="O191" i="7" s="1"/>
  <c r="J190" i="7"/>
  <c r="N189" i="7"/>
  <c r="N187" i="7" s="1"/>
  <c r="M189" i="7"/>
  <c r="P189" i="7" s="1"/>
  <c r="L189" i="7"/>
  <c r="O189" i="7" s="1"/>
  <c r="P188" i="7"/>
  <c r="O188" i="7"/>
  <c r="N186" i="7"/>
  <c r="N184" i="7" s="1"/>
  <c r="M186" i="7"/>
  <c r="M184" i="7" s="1"/>
  <c r="L186" i="7"/>
  <c r="P185" i="7"/>
  <c r="O185" i="7"/>
  <c r="O182" i="7"/>
  <c r="N182" i="7"/>
  <c r="M182" i="7"/>
  <c r="L182" i="7"/>
  <c r="J177" i="7"/>
  <c r="J164" i="7" s="1"/>
  <c r="I176" i="7"/>
  <c r="K176" i="7" s="1"/>
  <c r="J174" i="7"/>
  <c r="N173" i="7"/>
  <c r="N171" i="7" s="1"/>
  <c r="M173" i="7"/>
  <c r="M171" i="7" s="1"/>
  <c r="P171" i="7" s="1"/>
  <c r="L173" i="7"/>
  <c r="O173" i="7" s="1"/>
  <c r="P172" i="7"/>
  <c r="O172" i="7"/>
  <c r="N170" i="7"/>
  <c r="M170" i="7"/>
  <c r="M168" i="7" s="1"/>
  <c r="L170" i="7"/>
  <c r="P169" i="7"/>
  <c r="O169" i="7"/>
  <c r="O166" i="7"/>
  <c r="N166" i="7"/>
  <c r="M166" i="7"/>
  <c r="L166" i="7"/>
  <c r="I159" i="7"/>
  <c r="N157" i="7"/>
  <c r="N155" i="7" s="1"/>
  <c r="M157" i="7"/>
  <c r="P157" i="7" s="1"/>
  <c r="L157" i="7"/>
  <c r="P156" i="7"/>
  <c r="O156" i="7"/>
  <c r="N154" i="7"/>
  <c r="M154" i="7"/>
  <c r="M152" i="7" s="1"/>
  <c r="L154" i="7"/>
  <c r="L152" i="7" s="1"/>
  <c r="P153" i="7"/>
  <c r="O153" i="7"/>
  <c r="O150" i="7"/>
  <c r="N150" i="7"/>
  <c r="M150" i="7"/>
  <c r="P150" i="7" s="1"/>
  <c r="L150" i="7"/>
  <c r="J148" i="7"/>
  <c r="I146" i="7"/>
  <c r="I145" i="7"/>
  <c r="I143" i="7" s="1"/>
  <c r="I144" i="7"/>
  <c r="K144" i="7" s="1"/>
  <c r="N140" i="7"/>
  <c r="N138" i="7" s="1"/>
  <c r="M140" i="7"/>
  <c r="P140" i="7" s="1"/>
  <c r="L140" i="7"/>
  <c r="O140" i="7" s="1"/>
  <c r="P139" i="7"/>
  <c r="O139" i="7"/>
  <c r="N137" i="7"/>
  <c r="M137" i="7"/>
  <c r="P137" i="7" s="1"/>
  <c r="L137" i="7"/>
  <c r="O137" i="7" s="1"/>
  <c r="P136" i="7"/>
  <c r="O136" i="7"/>
  <c r="P133" i="7"/>
  <c r="N133" i="7"/>
  <c r="M133" i="7"/>
  <c r="L133" i="7"/>
  <c r="J130" i="7"/>
  <c r="N127" i="7"/>
  <c r="N125" i="7" s="1"/>
  <c r="M127" i="7"/>
  <c r="P127" i="7" s="1"/>
  <c r="L127" i="7"/>
  <c r="L125" i="7" s="1"/>
  <c r="O125" i="7" s="1"/>
  <c r="P126" i="7"/>
  <c r="O126" i="7"/>
  <c r="N124" i="7"/>
  <c r="N122" i="7" s="1"/>
  <c r="M124" i="7"/>
  <c r="P124" i="7" s="1"/>
  <c r="L124" i="7"/>
  <c r="L122" i="7" s="1"/>
  <c r="O122" i="7" s="1"/>
  <c r="P123" i="7"/>
  <c r="O123" i="7"/>
  <c r="O120" i="7"/>
  <c r="N120" i="7"/>
  <c r="M120" i="7"/>
  <c r="P120" i="7" s="1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K100" i="7" s="1"/>
  <c r="J99" i="7"/>
  <c r="I99" i="7"/>
  <c r="I87" i="7" s="1"/>
  <c r="K87" i="7" s="1"/>
  <c r="J98" i="7"/>
  <c r="J86" i="7" s="1"/>
  <c r="I98" i="7"/>
  <c r="K98" i="7" s="1"/>
  <c r="N96" i="7"/>
  <c r="N94" i="7" s="1"/>
  <c r="M96" i="7"/>
  <c r="P96" i="7" s="1"/>
  <c r="L96" i="7"/>
  <c r="P95" i="7"/>
  <c r="O95" i="7"/>
  <c r="N93" i="7"/>
  <c r="N91" i="7" s="1"/>
  <c r="M93" i="7"/>
  <c r="L93" i="7"/>
  <c r="P92" i="7"/>
  <c r="O92" i="7"/>
  <c r="O89" i="7"/>
  <c r="N89" i="7"/>
  <c r="M89" i="7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J77" i="7"/>
  <c r="J76" i="7"/>
  <c r="N74" i="7"/>
  <c r="N72" i="7" s="1"/>
  <c r="M74" i="7"/>
  <c r="P74" i="7" s="1"/>
  <c r="L74" i="7"/>
  <c r="P73" i="7"/>
  <c r="O73" i="7"/>
  <c r="N71" i="7"/>
  <c r="M71" i="7"/>
  <c r="P71" i="7" s="1"/>
  <c r="L71" i="7"/>
  <c r="P70" i="7"/>
  <c r="O70" i="7"/>
  <c r="P67" i="7"/>
  <c r="N67" i="7"/>
  <c r="M67" i="7"/>
  <c r="L67" i="7"/>
  <c r="J65" i="7"/>
  <c r="J64" i="7"/>
  <c r="N61" i="7"/>
  <c r="N59" i="7" s="1"/>
  <c r="M61" i="7"/>
  <c r="M59" i="7" s="1"/>
  <c r="L61" i="7"/>
  <c r="L59" i="7" s="1"/>
  <c r="P60" i="7"/>
  <c r="O60" i="7"/>
  <c r="N58" i="7"/>
  <c r="N56" i="7" s="1"/>
  <c r="M58" i="7"/>
  <c r="M56" i="7" s="1"/>
  <c r="L58" i="7"/>
  <c r="L56" i="7" s="1"/>
  <c r="P57" i="7"/>
  <c r="O57" i="7"/>
  <c r="O54" i="7"/>
  <c r="N54" i="7"/>
  <c r="M54" i="7"/>
  <c r="P54" i="7" s="1"/>
  <c r="L54" i="7"/>
  <c r="N49" i="7"/>
  <c r="M49" i="7"/>
  <c r="P49" i="7" s="1"/>
  <c r="L49" i="7"/>
  <c r="O49" i="7" s="1"/>
  <c r="P48" i="7"/>
  <c r="O48" i="7"/>
  <c r="N46" i="7"/>
  <c r="N44" i="7" s="1"/>
  <c r="M46" i="7"/>
  <c r="M44" i="7" s="1"/>
  <c r="L46" i="7"/>
  <c r="P45" i="7"/>
  <c r="O45" i="7"/>
  <c r="N42" i="7"/>
  <c r="M42" i="7"/>
  <c r="P42" i="7" s="1"/>
  <c r="L42" i="7"/>
  <c r="O42" i="7" s="1"/>
  <c r="P36" i="7"/>
  <c r="N36" i="7"/>
  <c r="N34" i="7" s="1"/>
  <c r="M36" i="7"/>
  <c r="O35" i="7"/>
  <c r="N35" i="7"/>
  <c r="M35" i="7"/>
  <c r="P35" i="7" s="1"/>
  <c r="L35" i="7"/>
  <c r="P33" i="7"/>
  <c r="N33" i="7"/>
  <c r="N31" i="7" s="1"/>
  <c r="M33" i="7"/>
  <c r="P32" i="7"/>
  <c r="O32" i="7"/>
  <c r="N32" i="7"/>
  <c r="M32" i="7"/>
  <c r="M31" i="7" s="1"/>
  <c r="L32" i="7"/>
  <c r="P31" i="7"/>
  <c r="M30" i="7"/>
  <c r="P30" i="7" s="1"/>
  <c r="O29" i="7"/>
  <c r="N29" i="7"/>
  <c r="L29" i="7"/>
  <c r="P25" i="7"/>
  <c r="N25" i="7"/>
  <c r="M25" i="7"/>
  <c r="L25" i="7"/>
  <c r="O25" i="7" s="1"/>
  <c r="N22" i="7"/>
  <c r="M22" i="7"/>
  <c r="P22" i="7" s="1"/>
  <c r="L22" i="7"/>
  <c r="O22" i="7" s="1"/>
  <c r="M19" i="7"/>
  <c r="N15" i="7"/>
  <c r="L15" i="7"/>
  <c r="O15" i="7" s="1"/>
  <c r="L12" i="7"/>
  <c r="L9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N815" i="6"/>
  <c r="M815" i="6"/>
  <c r="L815" i="6"/>
  <c r="O815" i="6" s="1"/>
  <c r="P810" i="6"/>
  <c r="O810" i="6"/>
  <c r="N810" i="6"/>
  <c r="N807" i="6" s="1"/>
  <c r="N805" i="6" s="1"/>
  <c r="P809" i="6"/>
  <c r="O809" i="6"/>
  <c r="P808" i="6"/>
  <c r="O808" i="6"/>
  <c r="N808" i="6"/>
  <c r="M808" i="6"/>
  <c r="L808" i="6"/>
  <c r="O807" i="6"/>
  <c r="M807" i="6"/>
  <c r="L807" i="6"/>
  <c r="N806" i="6"/>
  <c r="M806" i="6"/>
  <c r="P806" i="6" s="1"/>
  <c r="L806" i="6"/>
  <c r="K804" i="6"/>
  <c r="J804" i="6"/>
  <c r="J803" i="6"/>
  <c r="I803" i="6"/>
  <c r="K803" i="6" s="1"/>
  <c r="J802" i="6"/>
  <c r="J801" i="6"/>
  <c r="I801" i="6"/>
  <c r="J800" i="6"/>
  <c r="P798" i="6"/>
  <c r="O798" i="6"/>
  <c r="P797" i="6"/>
  <c r="O797" i="6"/>
  <c r="N796" i="6"/>
  <c r="M796" i="6"/>
  <c r="P796" i="6" s="1"/>
  <c r="L796" i="6"/>
  <c r="O796" i="6" s="1"/>
  <c r="P791" i="6"/>
  <c r="N791" i="6"/>
  <c r="N788" i="6" s="1"/>
  <c r="L791" i="6"/>
  <c r="O791" i="6" s="1"/>
  <c r="P790" i="6"/>
  <c r="O790" i="6"/>
  <c r="N789" i="6"/>
  <c r="M789" i="6"/>
  <c r="P789" i="6" s="1"/>
  <c r="P788" i="6"/>
  <c r="M788" i="6"/>
  <c r="M786" i="6" s="1"/>
  <c r="P786" i="6" s="1"/>
  <c r="P787" i="6"/>
  <c r="O787" i="6"/>
  <c r="N787" i="6"/>
  <c r="M787" i="6"/>
  <c r="L787" i="6"/>
  <c r="N786" i="6"/>
  <c r="P782" i="6"/>
  <c r="O782" i="6"/>
  <c r="P781" i="6"/>
  <c r="O781" i="6"/>
  <c r="P780" i="6"/>
  <c r="O780" i="6"/>
  <c r="N780" i="6"/>
  <c r="M780" i="6"/>
  <c r="L780" i="6"/>
  <c r="P775" i="6"/>
  <c r="O775" i="6"/>
  <c r="N775" i="6"/>
  <c r="P774" i="6"/>
  <c r="O774" i="6"/>
  <c r="N773" i="6"/>
  <c r="M773" i="6"/>
  <c r="P773" i="6" s="1"/>
  <c r="L773" i="6"/>
  <c r="O773" i="6" s="1"/>
  <c r="N772" i="6"/>
  <c r="N770" i="6" s="1"/>
  <c r="M772" i="6"/>
  <c r="P772" i="6" s="1"/>
  <c r="L772" i="6"/>
  <c r="O772" i="6" s="1"/>
  <c r="P771" i="6"/>
  <c r="N771" i="6"/>
  <c r="M771" i="6"/>
  <c r="M770" i="6" s="1"/>
  <c r="P770" i="6" s="1"/>
  <c r="L771" i="6"/>
  <c r="O771" i="6" s="1"/>
  <c r="K769" i="6"/>
  <c r="J769" i="6"/>
  <c r="P766" i="6"/>
  <c r="O766" i="6"/>
  <c r="P765" i="6"/>
  <c r="O765" i="6"/>
  <c r="P764" i="6"/>
  <c r="O764" i="6"/>
  <c r="N764" i="6"/>
  <c r="M764" i="6"/>
  <c r="L764" i="6"/>
  <c r="P759" i="6"/>
  <c r="O759" i="6"/>
  <c r="N759" i="6"/>
  <c r="P758" i="6"/>
  <c r="O758" i="6"/>
  <c r="N757" i="6"/>
  <c r="M757" i="6"/>
  <c r="P757" i="6" s="1"/>
  <c r="L757" i="6"/>
  <c r="O757" i="6" s="1"/>
  <c r="N756" i="6"/>
  <c r="N754" i="6" s="1"/>
  <c r="M756" i="6"/>
  <c r="P756" i="6" s="1"/>
  <c r="L756" i="6"/>
  <c r="O756" i="6" s="1"/>
  <c r="P755" i="6"/>
  <c r="N755" i="6"/>
  <c r="M755" i="6"/>
  <c r="M754" i="6" s="1"/>
  <c r="P754" i="6" s="1"/>
  <c r="L755" i="6"/>
  <c r="O755" i="6" s="1"/>
  <c r="K753" i="6"/>
  <c r="J753" i="6"/>
  <c r="P749" i="6"/>
  <c r="O749" i="6"/>
  <c r="P748" i="6"/>
  <c r="O748" i="6"/>
  <c r="P747" i="6"/>
  <c r="O747" i="6"/>
  <c r="N747" i="6"/>
  <c r="M747" i="6"/>
  <c r="L747" i="6"/>
  <c r="P742" i="6"/>
  <c r="O742" i="6"/>
  <c r="N742" i="6"/>
  <c r="P741" i="6"/>
  <c r="O741" i="6"/>
  <c r="N740" i="6"/>
  <c r="M740" i="6"/>
  <c r="P740" i="6" s="1"/>
  <c r="L740" i="6"/>
  <c r="O740" i="6" s="1"/>
  <c r="N739" i="6"/>
  <c r="N737" i="6" s="1"/>
  <c r="M739" i="6"/>
  <c r="P739" i="6" s="1"/>
  <c r="L739" i="6"/>
  <c r="O739" i="6" s="1"/>
  <c r="P738" i="6"/>
  <c r="N738" i="6"/>
  <c r="M738" i="6"/>
  <c r="M737" i="6" s="1"/>
  <c r="P737" i="6" s="1"/>
  <c r="L738" i="6"/>
  <c r="O738" i="6" s="1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P695" i="6"/>
  <c r="O695" i="6"/>
  <c r="N695" i="6"/>
  <c r="M695" i="6"/>
  <c r="L695" i="6"/>
  <c r="P690" i="6"/>
  <c r="N690" i="6"/>
  <c r="N687" i="6" s="1"/>
  <c r="L690" i="6"/>
  <c r="N688" i="6"/>
  <c r="M688" i="6"/>
  <c r="P688" i="6" s="1"/>
  <c r="P687" i="6"/>
  <c r="M687" i="6"/>
  <c r="M685" i="6" s="1"/>
  <c r="P685" i="6" s="1"/>
  <c r="P686" i="6"/>
  <c r="O686" i="6"/>
  <c r="N686" i="6"/>
  <c r="M686" i="6"/>
  <c r="L686" i="6"/>
  <c r="N685" i="6"/>
  <c r="J679" i="6"/>
  <c r="J678" i="6" s="1"/>
  <c r="I678" i="6"/>
  <c r="K678" i="6" s="1"/>
  <c r="J675" i="6"/>
  <c r="I671" i="6"/>
  <c r="K671" i="6" s="1"/>
  <c r="I670" i="6"/>
  <c r="K670" i="6" s="1"/>
  <c r="J669" i="6"/>
  <c r="I669" i="6"/>
  <c r="P667" i="6"/>
  <c r="O667" i="6"/>
  <c r="P666" i="6"/>
  <c r="O666" i="6"/>
  <c r="P665" i="6"/>
  <c r="O665" i="6"/>
  <c r="N665" i="6"/>
  <c r="M665" i="6"/>
  <c r="L665" i="6"/>
  <c r="P660" i="6"/>
  <c r="N660" i="6"/>
  <c r="N657" i="6" s="1"/>
  <c r="L660" i="6"/>
  <c r="L658" i="6" s="1"/>
  <c r="O658" i="6" s="1"/>
  <c r="P659" i="6"/>
  <c r="O659" i="6"/>
  <c r="P658" i="6"/>
  <c r="N658" i="6"/>
  <c r="M658" i="6"/>
  <c r="M657" i="6"/>
  <c r="N656" i="6"/>
  <c r="N655" i="6" s="1"/>
  <c r="M656" i="6"/>
  <c r="P656" i="6" s="1"/>
  <c r="L656" i="6"/>
  <c r="J654" i="6"/>
  <c r="K652" i="6"/>
  <c r="J652" i="6"/>
  <c r="J651" i="6"/>
  <c r="J628" i="6" s="1"/>
  <c r="I651" i="6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O641" i="6" s="1"/>
  <c r="P640" i="6"/>
  <c r="O640" i="6"/>
  <c r="N639" i="6"/>
  <c r="M639" i="6"/>
  <c r="P639" i="6" s="1"/>
  <c r="P634" i="6"/>
  <c r="N634" i="6"/>
  <c r="L634" i="6"/>
  <c r="O634" i="6" s="1"/>
  <c r="P633" i="6"/>
  <c r="O633" i="6"/>
  <c r="P632" i="6"/>
  <c r="N632" i="6"/>
  <c r="M632" i="6"/>
  <c r="P631" i="6"/>
  <c r="N631" i="6"/>
  <c r="M631" i="6"/>
  <c r="P630" i="6"/>
  <c r="O630" i="6"/>
  <c r="N630" i="6"/>
  <c r="N629" i="6" s="1"/>
  <c r="M630" i="6"/>
  <c r="L630" i="6"/>
  <c r="M629" i="6"/>
  <c r="P629" i="6" s="1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3" i="6" s="1"/>
  <c r="J592" i="6" s="1"/>
  <c r="J596" i="6"/>
  <c r="J595" i="6"/>
  <c r="J594" i="6"/>
  <c r="I594" i="6"/>
  <c r="I593" i="6"/>
  <c r="I592" i="6" s="1"/>
  <c r="J583" i="6"/>
  <c r="J577" i="6" s="1"/>
  <c r="J582" i="6"/>
  <c r="I577" i="6"/>
  <c r="K577" i="6" s="1"/>
  <c r="J576" i="6"/>
  <c r="J559" i="6" s="1"/>
  <c r="I576" i="6"/>
  <c r="K576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L555" i="6" s="1"/>
  <c r="O555" i="6" s="1"/>
  <c r="P556" i="6"/>
  <c r="O556" i="6"/>
  <c r="P555" i="6"/>
  <c r="N555" i="6"/>
  <c r="N545" i="6" s="1"/>
  <c r="N544" i="6" s="1"/>
  <c r="M555" i="6"/>
  <c r="P549" i="6"/>
  <c r="N549" i="6"/>
  <c r="L549" i="6"/>
  <c r="P548" i="6"/>
  <c r="O548" i="6"/>
  <c r="N547" i="6"/>
  <c r="M547" i="6"/>
  <c r="P547" i="6" s="1"/>
  <c r="N546" i="6"/>
  <c r="M546" i="6"/>
  <c r="P546" i="6" s="1"/>
  <c r="M545" i="6"/>
  <c r="P545" i="6" s="1"/>
  <c r="L545" i="6"/>
  <c r="O545" i="6" s="1"/>
  <c r="J543" i="6"/>
  <c r="I542" i="6"/>
  <c r="K542" i="6" s="1"/>
  <c r="I541" i="6"/>
  <c r="K541" i="6" s="1"/>
  <c r="I540" i="6"/>
  <c r="K540" i="6" s="1"/>
  <c r="I539" i="6"/>
  <c r="I538" i="6"/>
  <c r="K538" i="6" s="1"/>
  <c r="I537" i="6"/>
  <c r="I522" i="6" s="1"/>
  <c r="P535" i="6"/>
  <c r="L535" i="6"/>
  <c r="O535" i="6" s="1"/>
  <c r="P534" i="6"/>
  <c r="O534" i="6"/>
  <c r="N533" i="6"/>
  <c r="M533" i="6"/>
  <c r="P533" i="6" s="1"/>
  <c r="P528" i="6"/>
  <c r="N528" i="6"/>
  <c r="N525" i="6" s="1"/>
  <c r="L528" i="6"/>
  <c r="P527" i="6"/>
  <c r="O527" i="6"/>
  <c r="N526" i="6"/>
  <c r="M526" i="6"/>
  <c r="P526" i="6" s="1"/>
  <c r="P525" i="6"/>
  <c r="M525" i="6"/>
  <c r="M523" i="6" s="1"/>
  <c r="P523" i="6" s="1"/>
  <c r="P524" i="6"/>
  <c r="O524" i="6"/>
  <c r="N524" i="6"/>
  <c r="M524" i="6"/>
  <c r="L524" i="6"/>
  <c r="N523" i="6"/>
  <c r="K517" i="6"/>
  <c r="J517" i="6"/>
  <c r="J501" i="6" s="1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P506" i="6"/>
  <c r="O506" i="6"/>
  <c r="O505" i="6"/>
  <c r="N505" i="6"/>
  <c r="M505" i="6"/>
  <c r="P505" i="6" s="1"/>
  <c r="L505" i="6"/>
  <c r="P504" i="6"/>
  <c r="N504" i="6"/>
  <c r="N502" i="6" s="1"/>
  <c r="M504" i="6"/>
  <c r="L504" i="6"/>
  <c r="O504" i="6" s="1"/>
  <c r="O503" i="6"/>
  <c r="N503" i="6"/>
  <c r="M503" i="6"/>
  <c r="L503" i="6"/>
  <c r="L502" i="6"/>
  <c r="O502" i="6" s="1"/>
  <c r="K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O479" i="6" s="1"/>
  <c r="P478" i="6"/>
  <c r="O478" i="6"/>
  <c r="P477" i="6"/>
  <c r="N477" i="6"/>
  <c r="M477" i="6"/>
  <c r="P472" i="6"/>
  <c r="N472" i="6"/>
  <c r="L472" i="6"/>
  <c r="O472" i="6" s="1"/>
  <c r="P471" i="6"/>
  <c r="O471" i="6"/>
  <c r="N470" i="6"/>
  <c r="M470" i="6"/>
  <c r="P470" i="6" s="1"/>
  <c r="P469" i="6"/>
  <c r="N469" i="6"/>
  <c r="N467" i="6" s="1"/>
  <c r="M469" i="6"/>
  <c r="O468" i="6"/>
  <c r="N468" i="6"/>
  <c r="M468" i="6"/>
  <c r="L468" i="6"/>
  <c r="J466" i="6"/>
  <c r="I466" i="6"/>
  <c r="K466" i="6" s="1"/>
  <c r="J465" i="6"/>
  <c r="I465" i="6"/>
  <c r="K465" i="6" s="1"/>
  <c r="I464" i="6"/>
  <c r="I463" i="6"/>
  <c r="I462" i="6"/>
  <c r="K462" i="6" s="1"/>
  <c r="I460" i="6"/>
  <c r="K458" i="6"/>
  <c r="P456" i="6"/>
  <c r="L456" i="6"/>
  <c r="O456" i="6" s="1"/>
  <c r="P455" i="6"/>
  <c r="O455" i="6"/>
  <c r="N454" i="6"/>
  <c r="M454" i="6"/>
  <c r="P454" i="6" s="1"/>
  <c r="P449" i="6"/>
  <c r="N449" i="6"/>
  <c r="L449" i="6"/>
  <c r="O449" i="6" s="1"/>
  <c r="P448" i="6"/>
  <c r="O448" i="6"/>
  <c r="P447" i="6"/>
  <c r="N447" i="6"/>
  <c r="M447" i="6"/>
  <c r="N446" i="6"/>
  <c r="M446" i="6"/>
  <c r="P446" i="6" s="1"/>
  <c r="P445" i="6"/>
  <c r="N445" i="6"/>
  <c r="N444" i="6" s="1"/>
  <c r="M445" i="6"/>
  <c r="L445" i="6"/>
  <c r="O445" i="6" s="1"/>
  <c r="M444" i="6"/>
  <c r="P444" i="6" s="1"/>
  <c r="J443" i="6"/>
  <c r="J442" i="6"/>
  <c r="I441" i="6"/>
  <c r="K441" i="6" s="1"/>
  <c r="I440" i="6"/>
  <c r="K440" i="6" s="1"/>
  <c r="I439" i="6"/>
  <c r="K439" i="6" s="1"/>
  <c r="I438" i="6"/>
  <c r="K438" i="6" s="1"/>
  <c r="I437" i="6"/>
  <c r="K437" i="6" s="1"/>
  <c r="I435" i="6"/>
  <c r="K435" i="6" s="1"/>
  <c r="J434" i="6"/>
  <c r="P431" i="6"/>
  <c r="L431" i="6"/>
  <c r="P430" i="6"/>
  <c r="O430" i="6"/>
  <c r="N429" i="6"/>
  <c r="M429" i="6"/>
  <c r="P429" i="6" s="1"/>
  <c r="P424" i="6"/>
  <c r="N424" i="6"/>
  <c r="L424" i="6"/>
  <c r="O424" i="6" s="1"/>
  <c r="P423" i="6"/>
  <c r="O423" i="6"/>
  <c r="P422" i="6"/>
  <c r="N422" i="6"/>
  <c r="M422" i="6"/>
  <c r="N421" i="6"/>
  <c r="M421" i="6"/>
  <c r="P421" i="6" s="1"/>
  <c r="P420" i="6"/>
  <c r="N420" i="6"/>
  <c r="N419" i="6" s="1"/>
  <c r="M420" i="6"/>
  <c r="L420" i="6"/>
  <c r="O420" i="6" s="1"/>
  <c r="P419" i="6"/>
  <c r="M419" i="6"/>
  <c r="J418" i="6"/>
  <c r="K413" i="6"/>
  <c r="K412" i="6"/>
  <c r="N410" i="6"/>
  <c r="N408" i="6" s="1"/>
  <c r="M410" i="6"/>
  <c r="M408" i="6" s="1"/>
  <c r="P408" i="6" s="1"/>
  <c r="L410" i="6"/>
  <c r="L408" i="6" s="1"/>
  <c r="O408" i="6" s="1"/>
  <c r="P409" i="6"/>
  <c r="O409" i="6"/>
  <c r="N407" i="6"/>
  <c r="N405" i="6" s="1"/>
  <c r="M407" i="6"/>
  <c r="L407" i="6"/>
  <c r="P406" i="6"/>
  <c r="O406" i="6"/>
  <c r="P403" i="6"/>
  <c r="O403" i="6"/>
  <c r="N403" i="6"/>
  <c r="M403" i="6"/>
  <c r="L403" i="6"/>
  <c r="K401" i="6"/>
  <c r="J401" i="6"/>
  <c r="I401" i="6"/>
  <c r="K400" i="6"/>
  <c r="K399" i="6"/>
  <c r="N397" i="6"/>
  <c r="N395" i="6" s="1"/>
  <c r="M397" i="6"/>
  <c r="P397" i="6" s="1"/>
  <c r="L397" i="6"/>
  <c r="O397" i="6" s="1"/>
  <c r="P396" i="6"/>
  <c r="O396" i="6"/>
  <c r="N394" i="6"/>
  <c r="N392" i="6" s="1"/>
  <c r="M394" i="6"/>
  <c r="P394" i="6" s="1"/>
  <c r="L394" i="6"/>
  <c r="O394" i="6" s="1"/>
  <c r="P393" i="6"/>
  <c r="O393" i="6"/>
  <c r="P390" i="6"/>
  <c r="N390" i="6"/>
  <c r="M390" i="6"/>
  <c r="L390" i="6"/>
  <c r="O390" i="6" s="1"/>
  <c r="J388" i="6"/>
  <c r="I388" i="6"/>
  <c r="K388" i="6" s="1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N348" i="6" s="1"/>
  <c r="M350" i="6"/>
  <c r="M348" i="6" s="1"/>
  <c r="L350" i="6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N334" i="6" s="1"/>
  <c r="M336" i="6"/>
  <c r="P336" i="6" s="1"/>
  <c r="L336" i="6"/>
  <c r="P335" i="6"/>
  <c r="O335" i="6"/>
  <c r="N333" i="6"/>
  <c r="M333" i="6"/>
  <c r="M331" i="6" s="1"/>
  <c r="L333" i="6"/>
  <c r="P332" i="6"/>
  <c r="O332" i="6"/>
  <c r="N329" i="6"/>
  <c r="M329" i="6"/>
  <c r="P329" i="6" s="1"/>
  <c r="L329" i="6"/>
  <c r="O329" i="6" s="1"/>
  <c r="I327" i="6"/>
  <c r="I325" i="6"/>
  <c r="N323" i="6"/>
  <c r="N321" i="6" s="1"/>
  <c r="M323" i="6"/>
  <c r="L323" i="6"/>
  <c r="O323" i="6" s="1"/>
  <c r="P322" i="6"/>
  <c r="O322" i="6"/>
  <c r="N320" i="6"/>
  <c r="M320" i="6"/>
  <c r="M318" i="6" s="1"/>
  <c r="L320" i="6"/>
  <c r="P319" i="6"/>
  <c r="O319" i="6"/>
  <c r="P316" i="6"/>
  <c r="N316" i="6"/>
  <c r="M316" i="6"/>
  <c r="L316" i="6"/>
  <c r="O316" i="6" s="1"/>
  <c r="J314" i="6"/>
  <c r="I312" i="6"/>
  <c r="K312" i="6" s="1"/>
  <c r="I311" i="6"/>
  <c r="K311" i="6" s="1"/>
  <c r="I310" i="6"/>
  <c r="K310" i="6" s="1"/>
  <c r="I309" i="6"/>
  <c r="K309" i="6" s="1"/>
  <c r="N306" i="6"/>
  <c r="N304" i="6" s="1"/>
  <c r="M306" i="6"/>
  <c r="M304" i="6" s="1"/>
  <c r="P304" i="6" s="1"/>
  <c r="L306" i="6"/>
  <c r="L304" i="6" s="1"/>
  <c r="O304" i="6" s="1"/>
  <c r="P305" i="6"/>
  <c r="O305" i="6"/>
  <c r="N303" i="6"/>
  <c r="M303" i="6"/>
  <c r="M301" i="6" s="1"/>
  <c r="L303" i="6"/>
  <c r="P302" i="6"/>
  <c r="O302" i="6"/>
  <c r="N299" i="6"/>
  <c r="M299" i="6"/>
  <c r="P299" i="6" s="1"/>
  <c r="L299" i="6"/>
  <c r="O299" i="6" s="1"/>
  <c r="J297" i="6"/>
  <c r="I294" i="6"/>
  <c r="K294" i="6" s="1"/>
  <c r="I293" i="6"/>
  <c r="K293" i="6" s="1"/>
  <c r="I291" i="6"/>
  <c r="K291" i="6" s="1"/>
  <c r="I290" i="6"/>
  <c r="K290" i="6" s="1"/>
  <c r="I288" i="6"/>
  <c r="I287" i="6"/>
  <c r="N285" i="6"/>
  <c r="N283" i="6" s="1"/>
  <c r="M285" i="6"/>
  <c r="M283" i="6" s="1"/>
  <c r="P283" i="6" s="1"/>
  <c r="L285" i="6"/>
  <c r="O285" i="6" s="1"/>
  <c r="P284" i="6"/>
  <c r="O284" i="6"/>
  <c r="N282" i="6"/>
  <c r="M282" i="6"/>
  <c r="M280" i="6" s="1"/>
  <c r="L282" i="6"/>
  <c r="P281" i="6"/>
  <c r="O281" i="6"/>
  <c r="O278" i="6"/>
  <c r="N278" i="6"/>
  <c r="M278" i="6"/>
  <c r="L278" i="6"/>
  <c r="J276" i="6"/>
  <c r="I271" i="6"/>
  <c r="N269" i="6"/>
  <c r="N267" i="6" s="1"/>
  <c r="M269" i="6"/>
  <c r="L269" i="6"/>
  <c r="L267" i="6" s="1"/>
  <c r="O267" i="6" s="1"/>
  <c r="P268" i="6"/>
  <c r="O268" i="6"/>
  <c r="N266" i="6"/>
  <c r="M266" i="6"/>
  <c r="L266" i="6"/>
  <c r="L264" i="6" s="1"/>
  <c r="P265" i="6"/>
  <c r="O265" i="6"/>
  <c r="P262" i="6"/>
  <c r="N262" i="6"/>
  <c r="M262" i="6"/>
  <c r="L262" i="6"/>
  <c r="J260" i="6"/>
  <c r="K258" i="6"/>
  <c r="K257" i="6"/>
  <c r="I255" i="6"/>
  <c r="L253" i="6"/>
  <c r="L252" i="6"/>
  <c r="L251" i="6"/>
  <c r="L250" i="6"/>
  <c r="P249" i="6"/>
  <c r="N249" i="6"/>
  <c r="J248" i="6"/>
  <c r="K247" i="6"/>
  <c r="K246" i="6"/>
  <c r="I244" i="6"/>
  <c r="K244" i="6" s="1"/>
  <c r="L242" i="6"/>
  <c r="L241" i="6"/>
  <c r="L240" i="6"/>
  <c r="L239" i="6"/>
  <c r="P238" i="6"/>
  <c r="N238" i="6"/>
  <c r="N227" i="6" s="1"/>
  <c r="J237" i="6"/>
  <c r="J226" i="6" s="1"/>
  <c r="J180" i="6" s="1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K215" i="6" s="1"/>
  <c r="I214" i="6"/>
  <c r="K214" i="6" s="1"/>
  <c r="L212" i="6"/>
  <c r="L211" i="6"/>
  <c r="L210" i="6"/>
  <c r="P209" i="6"/>
  <c r="N209" i="6"/>
  <c r="J208" i="6"/>
  <c r="K207" i="6"/>
  <c r="K206" i="6"/>
  <c r="I204" i="6"/>
  <c r="K204" i="6" s="1"/>
  <c r="L202" i="6"/>
  <c r="L201" i="6"/>
  <c r="L200" i="6"/>
  <c r="L199" i="6"/>
  <c r="P198" i="6"/>
  <c r="N198" i="6"/>
  <c r="J197" i="6"/>
  <c r="J194" i="6"/>
  <c r="I193" i="6"/>
  <c r="K193" i="6" s="1"/>
  <c r="P191" i="6"/>
  <c r="L191" i="6"/>
  <c r="O191" i="6" s="1"/>
  <c r="J190" i="6"/>
  <c r="N189" i="6"/>
  <c r="N187" i="6" s="1"/>
  <c r="M189" i="6"/>
  <c r="P189" i="6" s="1"/>
  <c r="L189" i="6"/>
  <c r="P188" i="6"/>
  <c r="O188" i="6"/>
  <c r="N186" i="6"/>
  <c r="M186" i="6"/>
  <c r="L186" i="6"/>
  <c r="L184" i="6" s="1"/>
  <c r="P185" i="6"/>
  <c r="O185" i="6"/>
  <c r="P182" i="6"/>
  <c r="N182" i="6"/>
  <c r="M182" i="6"/>
  <c r="L182" i="6"/>
  <c r="O182" i="6" s="1"/>
  <c r="J177" i="6"/>
  <c r="J164" i="6" s="1"/>
  <c r="I176" i="6"/>
  <c r="K176" i="6" s="1"/>
  <c r="J174" i="6"/>
  <c r="N173" i="6"/>
  <c r="M173" i="6"/>
  <c r="P173" i="6" s="1"/>
  <c r="L173" i="6"/>
  <c r="O173" i="6" s="1"/>
  <c r="P172" i="6"/>
  <c r="O172" i="6"/>
  <c r="N170" i="6"/>
  <c r="N168" i="6" s="1"/>
  <c r="M170" i="6"/>
  <c r="L170" i="6"/>
  <c r="L168" i="6" s="1"/>
  <c r="P169" i="6"/>
  <c r="O169" i="6"/>
  <c r="P166" i="6"/>
  <c r="N166" i="6"/>
  <c r="M166" i="6"/>
  <c r="L166" i="6"/>
  <c r="O166" i="6" s="1"/>
  <c r="I159" i="6"/>
  <c r="K159" i="6" s="1"/>
  <c r="N157" i="6"/>
  <c r="N155" i="6" s="1"/>
  <c r="M157" i="6"/>
  <c r="L157" i="6"/>
  <c r="P156" i="6"/>
  <c r="O156" i="6"/>
  <c r="N154" i="6"/>
  <c r="M154" i="6"/>
  <c r="L154" i="6"/>
  <c r="L152" i="6" s="1"/>
  <c r="P153" i="6"/>
  <c r="O153" i="6"/>
  <c r="P150" i="6"/>
  <c r="N150" i="6"/>
  <c r="M150" i="6"/>
  <c r="L150" i="6"/>
  <c r="J148" i="6"/>
  <c r="I146" i="6"/>
  <c r="I130" i="6" s="1"/>
  <c r="K130" i="6" s="1"/>
  <c r="I145" i="6"/>
  <c r="I144" i="6"/>
  <c r="K144" i="6" s="1"/>
  <c r="N140" i="6"/>
  <c r="N138" i="6" s="1"/>
  <c r="M140" i="6"/>
  <c r="L140" i="6"/>
  <c r="P139" i="6"/>
  <c r="O139" i="6"/>
  <c r="N137" i="6"/>
  <c r="N135" i="6" s="1"/>
  <c r="M137" i="6"/>
  <c r="L137" i="6"/>
  <c r="P136" i="6"/>
  <c r="O136" i="6"/>
  <c r="O133" i="6"/>
  <c r="N133" i="6"/>
  <c r="M133" i="6"/>
  <c r="L133" i="6"/>
  <c r="J130" i="6"/>
  <c r="N127" i="6"/>
  <c r="N125" i="6" s="1"/>
  <c r="M127" i="6"/>
  <c r="L127" i="6"/>
  <c r="L125" i="6" s="1"/>
  <c r="P126" i="6"/>
  <c r="O126" i="6"/>
  <c r="N124" i="6"/>
  <c r="N122" i="6" s="1"/>
  <c r="M124" i="6"/>
  <c r="L124" i="6"/>
  <c r="O124" i="6" s="1"/>
  <c r="P123" i="6"/>
  <c r="O123" i="6"/>
  <c r="P120" i="6"/>
  <c r="N120" i="6"/>
  <c r="M120" i="6"/>
  <c r="L120" i="6"/>
  <c r="K118" i="6"/>
  <c r="J118" i="6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J98" i="6"/>
  <c r="I98" i="6"/>
  <c r="I86" i="6" s="1"/>
  <c r="N96" i="6"/>
  <c r="N94" i="6" s="1"/>
  <c r="M96" i="6"/>
  <c r="L96" i="6"/>
  <c r="P95" i="6"/>
  <c r="O95" i="6"/>
  <c r="N93" i="6"/>
  <c r="M93" i="6"/>
  <c r="L93" i="6"/>
  <c r="P92" i="6"/>
  <c r="O92" i="6"/>
  <c r="P89" i="6"/>
  <c r="N89" i="6"/>
  <c r="M89" i="6"/>
  <c r="L89" i="6"/>
  <c r="J86" i="6"/>
  <c r="I84" i="6"/>
  <c r="K84" i="6" s="1"/>
  <c r="I83" i="6"/>
  <c r="K83" i="6" s="1"/>
  <c r="I82" i="6"/>
  <c r="K82" i="6" s="1"/>
  <c r="I81" i="6"/>
  <c r="K81" i="6" s="1"/>
  <c r="I80" i="6"/>
  <c r="I79" i="6"/>
  <c r="I78" i="6"/>
  <c r="K78" i="6" s="1"/>
  <c r="J77" i="6"/>
  <c r="J76" i="6"/>
  <c r="J64" i="6" s="1"/>
  <c r="N74" i="6"/>
  <c r="M74" i="6"/>
  <c r="P74" i="6" s="1"/>
  <c r="L74" i="6"/>
  <c r="P73" i="6"/>
  <c r="O73" i="6"/>
  <c r="N71" i="6"/>
  <c r="N69" i="6" s="1"/>
  <c r="M71" i="6"/>
  <c r="P71" i="6" s="1"/>
  <c r="L71" i="6"/>
  <c r="P70" i="6"/>
  <c r="O70" i="6"/>
  <c r="O67" i="6"/>
  <c r="N67" i="6"/>
  <c r="M67" i="6"/>
  <c r="L67" i="6"/>
  <c r="J65" i="6"/>
  <c r="N61" i="6"/>
  <c r="N59" i="6" s="1"/>
  <c r="M61" i="6"/>
  <c r="L61" i="6"/>
  <c r="P60" i="6"/>
  <c r="O60" i="6"/>
  <c r="N58" i="6"/>
  <c r="M58" i="6"/>
  <c r="M56" i="6" s="1"/>
  <c r="L58" i="6"/>
  <c r="L56" i="6" s="1"/>
  <c r="P57" i="6"/>
  <c r="O57" i="6"/>
  <c r="P54" i="6"/>
  <c r="N54" i="6"/>
  <c r="M54" i="6"/>
  <c r="L54" i="6"/>
  <c r="N49" i="6"/>
  <c r="N47" i="6" s="1"/>
  <c r="M49" i="6"/>
  <c r="P49" i="6" s="1"/>
  <c r="L49" i="6"/>
  <c r="P48" i="6"/>
  <c r="O48" i="6"/>
  <c r="N46" i="6"/>
  <c r="M46" i="6"/>
  <c r="L46" i="6"/>
  <c r="P45" i="6"/>
  <c r="O45" i="6"/>
  <c r="O42" i="6"/>
  <c r="N42" i="6"/>
  <c r="M42" i="6"/>
  <c r="L42" i="6"/>
  <c r="P36" i="6"/>
  <c r="N36" i="6"/>
  <c r="N30" i="6" s="1"/>
  <c r="M36" i="6"/>
  <c r="O35" i="6"/>
  <c r="N35" i="6"/>
  <c r="M35" i="6"/>
  <c r="L35" i="6"/>
  <c r="N34" i="6"/>
  <c r="N33" i="6"/>
  <c r="M33" i="6"/>
  <c r="M31" i="6" s="1"/>
  <c r="P31" i="6" s="1"/>
  <c r="P32" i="6"/>
  <c r="N32" i="6"/>
  <c r="M32" i="6"/>
  <c r="L32" i="6"/>
  <c r="M29" i="6"/>
  <c r="N25" i="6"/>
  <c r="N15" i="6" s="1"/>
  <c r="M25" i="6"/>
  <c r="P25" i="6" s="1"/>
  <c r="L25" i="6"/>
  <c r="O25" i="6" s="1"/>
  <c r="N22" i="6"/>
  <c r="M22" i="6"/>
  <c r="L22" i="6"/>
  <c r="L19" i="6" s="1"/>
  <c r="M19" i="6"/>
  <c r="P19" i="6" s="1"/>
  <c r="M15" i="6"/>
  <c r="P15" i="6" s="1"/>
  <c r="L15" i="6"/>
  <c r="O15" i="6" s="1"/>
  <c r="N12" i="6"/>
  <c r="N9" i="6" s="1"/>
  <c r="M12" i="6"/>
  <c r="P12" i="6" s="1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N807" i="5" s="1"/>
  <c r="N805" i="5" s="1"/>
  <c r="P809" i="5"/>
  <c r="O809" i="5"/>
  <c r="N808" i="5"/>
  <c r="M808" i="5"/>
  <c r="P808" i="5" s="1"/>
  <c r="L808" i="5"/>
  <c r="O808" i="5" s="1"/>
  <c r="M807" i="5"/>
  <c r="L807" i="5"/>
  <c r="O807" i="5" s="1"/>
  <c r="P806" i="5"/>
  <c r="N806" i="5"/>
  <c r="M806" i="5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O796" i="5"/>
  <c r="N796" i="5"/>
  <c r="M796" i="5"/>
  <c r="P796" i="5" s="1"/>
  <c r="L796" i="5"/>
  <c r="P791" i="5"/>
  <c r="N791" i="5"/>
  <c r="L791" i="5"/>
  <c r="L789" i="5" s="1"/>
  <c r="O789" i="5" s="1"/>
  <c r="P790" i="5"/>
  <c r="O790" i="5"/>
  <c r="M789" i="5"/>
  <c r="P789" i="5" s="1"/>
  <c r="M788" i="5"/>
  <c r="P787" i="5"/>
  <c r="N787" i="5"/>
  <c r="M787" i="5"/>
  <c r="L787" i="5"/>
  <c r="P782" i="5"/>
  <c r="O782" i="5"/>
  <c r="P781" i="5"/>
  <c r="O781" i="5"/>
  <c r="P780" i="5"/>
  <c r="O780" i="5"/>
  <c r="N780" i="5"/>
  <c r="M780" i="5"/>
  <c r="L780" i="5"/>
  <c r="P775" i="5"/>
  <c r="O775" i="5"/>
  <c r="N775" i="5"/>
  <c r="P774" i="5"/>
  <c r="O774" i="5"/>
  <c r="O773" i="5"/>
  <c r="N773" i="5"/>
  <c r="M773" i="5"/>
  <c r="P773" i="5" s="1"/>
  <c r="L773" i="5"/>
  <c r="N772" i="5"/>
  <c r="N770" i="5" s="1"/>
  <c r="M772" i="5"/>
  <c r="P772" i="5" s="1"/>
  <c r="L772" i="5"/>
  <c r="O772" i="5" s="1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O764" i="5"/>
  <c r="N764" i="5"/>
  <c r="M764" i="5"/>
  <c r="L764" i="5"/>
  <c r="P759" i="5"/>
  <c r="O759" i="5"/>
  <c r="N759" i="5"/>
  <c r="P758" i="5"/>
  <c r="O758" i="5"/>
  <c r="O757" i="5"/>
  <c r="N757" i="5"/>
  <c r="M757" i="5"/>
  <c r="P757" i="5" s="1"/>
  <c r="L757" i="5"/>
  <c r="N756" i="5"/>
  <c r="N754" i="5" s="1"/>
  <c r="M756" i="5"/>
  <c r="P756" i="5" s="1"/>
  <c r="L756" i="5"/>
  <c r="O756" i="5" s="1"/>
  <c r="N755" i="5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O747" i="5"/>
  <c r="N747" i="5"/>
  <c r="M747" i="5"/>
  <c r="L747" i="5"/>
  <c r="P742" i="5"/>
  <c r="O742" i="5"/>
  <c r="N742" i="5"/>
  <c r="P741" i="5"/>
  <c r="O741" i="5"/>
  <c r="O740" i="5"/>
  <c r="N740" i="5"/>
  <c r="M740" i="5"/>
  <c r="P740" i="5" s="1"/>
  <c r="L740" i="5"/>
  <c r="N739" i="5"/>
  <c r="N737" i="5" s="1"/>
  <c r="M739" i="5"/>
  <c r="P739" i="5" s="1"/>
  <c r="L739" i="5"/>
  <c r="O739" i="5" s="1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O695" i="5"/>
  <c r="N695" i="5"/>
  <c r="M695" i="5"/>
  <c r="L695" i="5"/>
  <c r="P690" i="5"/>
  <c r="N690" i="5"/>
  <c r="N687" i="5" s="1"/>
  <c r="N685" i="5" s="1"/>
  <c r="L690" i="5"/>
  <c r="L688" i="5" s="1"/>
  <c r="N688" i="5"/>
  <c r="M688" i="5"/>
  <c r="P688" i="5" s="1"/>
  <c r="M687" i="5"/>
  <c r="P686" i="5"/>
  <c r="N686" i="5"/>
  <c r="M686" i="5"/>
  <c r="L686" i="5"/>
  <c r="J679" i="5"/>
  <c r="J678" i="5" s="1"/>
  <c r="I678" i="5"/>
  <c r="K678" i="5" s="1"/>
  <c r="J675" i="5"/>
  <c r="I671" i="5"/>
  <c r="K671" i="5" s="1"/>
  <c r="I670" i="5"/>
  <c r="K670" i="5" s="1"/>
  <c r="J669" i="5"/>
  <c r="I669" i="5"/>
  <c r="K672" i="5" s="1"/>
  <c r="P667" i="5"/>
  <c r="O667" i="5"/>
  <c r="P666" i="5"/>
  <c r="O666" i="5"/>
  <c r="N665" i="5"/>
  <c r="M665" i="5"/>
  <c r="P665" i="5" s="1"/>
  <c r="L665" i="5"/>
  <c r="O665" i="5" s="1"/>
  <c r="P660" i="5"/>
  <c r="N660" i="5"/>
  <c r="N657" i="5" s="1"/>
  <c r="L660" i="5"/>
  <c r="L658" i="5" s="1"/>
  <c r="O658" i="5" s="1"/>
  <c r="P659" i="5"/>
  <c r="O659" i="5"/>
  <c r="P658" i="5"/>
  <c r="N658" i="5"/>
  <c r="M658" i="5"/>
  <c r="P657" i="5"/>
  <c r="M657" i="5"/>
  <c r="P656" i="5"/>
  <c r="O656" i="5"/>
  <c r="N656" i="5"/>
  <c r="M656" i="5"/>
  <c r="L656" i="5"/>
  <c r="M655" i="5"/>
  <c r="P655" i="5" s="1"/>
  <c r="J654" i="5"/>
  <c r="K652" i="5"/>
  <c r="J652" i="5"/>
  <c r="J651" i="5"/>
  <c r="J628" i="5" s="1"/>
  <c r="I651" i="5"/>
  <c r="K651" i="5" s="1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N639" i="5"/>
  <c r="M639" i="5"/>
  <c r="P639" i="5" s="1"/>
  <c r="P634" i="5"/>
  <c r="N634" i="5"/>
  <c r="L634" i="5"/>
  <c r="P633" i="5"/>
  <c r="O633" i="5"/>
  <c r="N632" i="5"/>
  <c r="M632" i="5"/>
  <c r="P632" i="5" s="1"/>
  <c r="P631" i="5"/>
  <c r="N631" i="5"/>
  <c r="M631" i="5"/>
  <c r="P630" i="5"/>
  <c r="O630" i="5"/>
  <c r="N630" i="5"/>
  <c r="M630" i="5"/>
  <c r="L630" i="5"/>
  <c r="P629" i="5"/>
  <c r="N629" i="5"/>
  <c r="M629" i="5"/>
  <c r="J621" i="5"/>
  <c r="I621" i="5"/>
  <c r="K621" i="5" s="1"/>
  <c r="J620" i="5"/>
  <c r="I620" i="5"/>
  <c r="K620" i="5" s="1"/>
  <c r="K613" i="5"/>
  <c r="J613" i="5"/>
  <c r="K612" i="5"/>
  <c r="J612" i="5"/>
  <c r="K611" i="5"/>
  <c r="J611" i="5"/>
  <c r="J604" i="5"/>
  <c r="J594" i="5" s="1"/>
  <c r="J603" i="5"/>
  <c r="J596" i="5"/>
  <c r="J595" i="5"/>
  <c r="I594" i="5"/>
  <c r="K594" i="5" s="1"/>
  <c r="J593" i="5"/>
  <c r="I593" i="5"/>
  <c r="I592" i="5" s="1"/>
  <c r="K592" i="5" s="1"/>
  <c r="J592" i="5"/>
  <c r="J583" i="5"/>
  <c r="J582" i="5"/>
  <c r="J577" i="5"/>
  <c r="I577" i="5"/>
  <c r="K577" i="5" s="1"/>
  <c r="J576" i="5"/>
  <c r="I576" i="5"/>
  <c r="K576" i="5" s="1"/>
  <c r="J569" i="5"/>
  <c r="I569" i="5"/>
  <c r="J568" i="5"/>
  <c r="I568" i="5"/>
  <c r="K568" i="5" s="1"/>
  <c r="J561" i="5"/>
  <c r="I561" i="5"/>
  <c r="K561" i="5" s="1"/>
  <c r="J560" i="5"/>
  <c r="I560" i="5"/>
  <c r="K560" i="5" s="1"/>
  <c r="J559" i="5"/>
  <c r="J543" i="5" s="1"/>
  <c r="P557" i="5"/>
  <c r="L557" i="5"/>
  <c r="L555" i="5" s="1"/>
  <c r="O555" i="5" s="1"/>
  <c r="P556" i="5"/>
  <c r="O556" i="5"/>
  <c r="P555" i="5"/>
  <c r="N555" i="5"/>
  <c r="M555" i="5"/>
  <c r="P549" i="5"/>
  <c r="N549" i="5"/>
  <c r="L549" i="5"/>
  <c r="L547" i="5" s="1"/>
  <c r="P548" i="5"/>
  <c r="O548" i="5"/>
  <c r="P547" i="5"/>
  <c r="N547" i="5"/>
  <c r="M547" i="5"/>
  <c r="M546" i="5"/>
  <c r="P546" i="5" s="1"/>
  <c r="N545" i="5"/>
  <c r="M545" i="5"/>
  <c r="P545" i="5" s="1"/>
  <c r="L545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P534" i="5"/>
  <c r="O534" i="5"/>
  <c r="N533" i="5"/>
  <c r="M533" i="5"/>
  <c r="P533" i="5" s="1"/>
  <c r="P528" i="5"/>
  <c r="N528" i="5"/>
  <c r="N525" i="5" s="1"/>
  <c r="N523" i="5" s="1"/>
  <c r="L528" i="5"/>
  <c r="O528" i="5" s="1"/>
  <c r="P527" i="5"/>
  <c r="O527" i="5"/>
  <c r="N526" i="5"/>
  <c r="M526" i="5"/>
  <c r="P526" i="5" s="1"/>
  <c r="M525" i="5"/>
  <c r="P524" i="5"/>
  <c r="N524" i="5"/>
  <c r="M524" i="5"/>
  <c r="L524" i="5"/>
  <c r="K517" i="5"/>
  <c r="J517" i="5"/>
  <c r="K516" i="5"/>
  <c r="P514" i="5"/>
  <c r="O514" i="5"/>
  <c r="P513" i="5"/>
  <c r="O513" i="5"/>
  <c r="N512" i="5"/>
  <c r="M512" i="5"/>
  <c r="P512" i="5" s="1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P504" i="5"/>
  <c r="O504" i="5"/>
  <c r="N504" i="5"/>
  <c r="M504" i="5"/>
  <c r="L504" i="5"/>
  <c r="P503" i="5"/>
  <c r="O503" i="5"/>
  <c r="N503" i="5"/>
  <c r="N502" i="5" s="1"/>
  <c r="M503" i="5"/>
  <c r="L503" i="5"/>
  <c r="O502" i="5"/>
  <c r="M502" i="5"/>
  <c r="P502" i="5" s="1"/>
  <c r="L502" i="5"/>
  <c r="K501" i="5"/>
  <c r="J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N477" i="5"/>
  <c r="M477" i="5"/>
  <c r="P477" i="5" s="1"/>
  <c r="P472" i="5"/>
  <c r="N472" i="5"/>
  <c r="N469" i="5" s="1"/>
  <c r="N467" i="5" s="1"/>
  <c r="L472" i="5"/>
  <c r="O472" i="5" s="1"/>
  <c r="P471" i="5"/>
  <c r="O471" i="5"/>
  <c r="P470" i="5"/>
  <c r="N470" i="5"/>
  <c r="M470" i="5"/>
  <c r="P469" i="5"/>
  <c r="M469" i="5"/>
  <c r="P468" i="5"/>
  <c r="O468" i="5"/>
  <c r="N468" i="5"/>
  <c r="M468" i="5"/>
  <c r="L468" i="5"/>
  <c r="M467" i="5"/>
  <c r="P467" i="5" s="1"/>
  <c r="J466" i="5"/>
  <c r="I466" i="5"/>
  <c r="K466" i="5" s="1"/>
  <c r="J465" i="5"/>
  <c r="I465" i="5"/>
  <c r="K465" i="5" s="1"/>
  <c r="I464" i="5"/>
  <c r="I463" i="5"/>
  <c r="I462" i="5"/>
  <c r="I460" i="5"/>
  <c r="K460" i="5" s="1"/>
  <c r="K458" i="5"/>
  <c r="P456" i="5"/>
  <c r="L456" i="5"/>
  <c r="P455" i="5"/>
  <c r="O455" i="5"/>
  <c r="N454" i="5"/>
  <c r="M454" i="5"/>
  <c r="P454" i="5" s="1"/>
  <c r="P449" i="5"/>
  <c r="N449" i="5"/>
  <c r="N446" i="5" s="1"/>
  <c r="L449" i="5"/>
  <c r="P448" i="5"/>
  <c r="O448" i="5"/>
  <c r="N447" i="5"/>
  <c r="M447" i="5"/>
  <c r="P447" i="5" s="1"/>
  <c r="P446" i="5"/>
  <c r="M446" i="5"/>
  <c r="M444" i="5" s="1"/>
  <c r="P444" i="5" s="1"/>
  <c r="P445" i="5"/>
  <c r="O445" i="5"/>
  <c r="N445" i="5"/>
  <c r="M445" i="5"/>
  <c r="L445" i="5"/>
  <c r="N444" i="5"/>
  <c r="J443" i="5"/>
  <c r="J442" i="5"/>
  <c r="I441" i="5"/>
  <c r="K441" i="5" s="1"/>
  <c r="I440" i="5"/>
  <c r="K440" i="5" s="1"/>
  <c r="I439" i="5"/>
  <c r="K439" i="5" s="1"/>
  <c r="I438" i="5"/>
  <c r="I437" i="5"/>
  <c r="I435" i="5"/>
  <c r="J434" i="5"/>
  <c r="P431" i="5"/>
  <c r="L431" i="5"/>
  <c r="P430" i="5"/>
  <c r="O430" i="5"/>
  <c r="N429" i="5"/>
  <c r="M429" i="5"/>
  <c r="P429" i="5" s="1"/>
  <c r="P424" i="5"/>
  <c r="N424" i="5"/>
  <c r="L424" i="5"/>
  <c r="O424" i="5" s="1"/>
  <c r="P423" i="5"/>
  <c r="O423" i="5"/>
  <c r="N422" i="5"/>
  <c r="M422" i="5"/>
  <c r="P422" i="5" s="1"/>
  <c r="P421" i="5"/>
  <c r="N421" i="5"/>
  <c r="M421" i="5"/>
  <c r="P420" i="5"/>
  <c r="O420" i="5"/>
  <c r="N420" i="5"/>
  <c r="M420" i="5"/>
  <c r="L420" i="5"/>
  <c r="P419" i="5"/>
  <c r="N419" i="5"/>
  <c r="M419" i="5"/>
  <c r="J418" i="5"/>
  <c r="K413" i="5"/>
  <c r="K412" i="5"/>
  <c r="N410" i="5"/>
  <c r="N408" i="5" s="1"/>
  <c r="M410" i="5"/>
  <c r="P410" i="5" s="1"/>
  <c r="L410" i="5"/>
  <c r="L408" i="5" s="1"/>
  <c r="O408" i="5" s="1"/>
  <c r="P409" i="5"/>
  <c r="O409" i="5"/>
  <c r="N407" i="5"/>
  <c r="M407" i="5"/>
  <c r="P407" i="5" s="1"/>
  <c r="L407" i="5"/>
  <c r="L405" i="5" s="1"/>
  <c r="O405" i="5" s="1"/>
  <c r="P406" i="5"/>
  <c r="O406" i="5"/>
  <c r="O403" i="5"/>
  <c r="N403" i="5"/>
  <c r="M403" i="5"/>
  <c r="L403" i="5"/>
  <c r="J401" i="5"/>
  <c r="I401" i="5"/>
  <c r="K401" i="5" s="1"/>
  <c r="K400" i="5"/>
  <c r="K399" i="5"/>
  <c r="N397" i="5"/>
  <c r="N395" i="5" s="1"/>
  <c r="M397" i="5"/>
  <c r="P397" i="5" s="1"/>
  <c r="L397" i="5"/>
  <c r="P396" i="5"/>
  <c r="O396" i="5"/>
  <c r="N394" i="5"/>
  <c r="N392" i="5" s="1"/>
  <c r="M394" i="5"/>
  <c r="P394" i="5" s="1"/>
  <c r="L394" i="5"/>
  <c r="O394" i="5" s="1"/>
  <c r="P393" i="5"/>
  <c r="O393" i="5"/>
  <c r="P390" i="5"/>
  <c r="O390" i="5"/>
  <c r="N390" i="5"/>
  <c r="M390" i="5"/>
  <c r="L390" i="5"/>
  <c r="J388" i="5"/>
  <c r="I388" i="5"/>
  <c r="K388" i="5" s="1"/>
  <c r="J385" i="5"/>
  <c r="I385" i="5"/>
  <c r="K382" i="5"/>
  <c r="J382" i="5"/>
  <c r="J381" i="5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L351" i="5" s="1"/>
  <c r="P352" i="5"/>
  <c r="O352" i="5"/>
  <c r="N350" i="5"/>
  <c r="M350" i="5"/>
  <c r="L350" i="5"/>
  <c r="P349" i="5"/>
  <c r="O349" i="5"/>
  <c r="P346" i="5"/>
  <c r="O346" i="5"/>
  <c r="N346" i="5"/>
  <c r="M346" i="5"/>
  <c r="L346" i="5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O336" i="5" s="1"/>
  <c r="P335" i="5"/>
  <c r="O335" i="5"/>
  <c r="N333" i="5"/>
  <c r="N331" i="5" s="1"/>
  <c r="M333" i="5"/>
  <c r="L333" i="5"/>
  <c r="P332" i="5"/>
  <c r="O332" i="5"/>
  <c r="P329" i="5"/>
  <c r="O329" i="5"/>
  <c r="N329" i="5"/>
  <c r="M329" i="5"/>
  <c r="L329" i="5"/>
  <c r="I327" i="5"/>
  <c r="I325" i="5"/>
  <c r="K325" i="5" s="1"/>
  <c r="N323" i="5"/>
  <c r="N321" i="5" s="1"/>
  <c r="M323" i="5"/>
  <c r="L323" i="5"/>
  <c r="P322" i="5"/>
  <c r="O322" i="5"/>
  <c r="N320" i="5"/>
  <c r="M320" i="5"/>
  <c r="L320" i="5"/>
  <c r="P319" i="5"/>
  <c r="O319" i="5"/>
  <c r="N316" i="5"/>
  <c r="M316" i="5"/>
  <c r="L316" i="5"/>
  <c r="O316" i="5" s="1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P306" i="5" s="1"/>
  <c r="L306" i="5"/>
  <c r="O306" i="5" s="1"/>
  <c r="P305" i="5"/>
  <c r="O305" i="5"/>
  <c r="N303" i="5"/>
  <c r="M303" i="5"/>
  <c r="L303" i="5"/>
  <c r="L301" i="5" s="1"/>
  <c r="P302" i="5"/>
  <c r="O302" i="5"/>
  <c r="O299" i="5"/>
  <c r="N299" i="5"/>
  <c r="M299" i="5"/>
  <c r="L299" i="5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I287" i="5"/>
  <c r="N285" i="5"/>
  <c r="N283" i="5" s="1"/>
  <c r="M285" i="5"/>
  <c r="P285" i="5" s="1"/>
  <c r="L285" i="5"/>
  <c r="O285" i="5" s="1"/>
  <c r="P284" i="5"/>
  <c r="O284" i="5"/>
  <c r="N282" i="5"/>
  <c r="M282" i="5"/>
  <c r="M280" i="5" s="1"/>
  <c r="L282" i="5"/>
  <c r="P281" i="5"/>
  <c r="O281" i="5"/>
  <c r="P278" i="5"/>
  <c r="O278" i="5"/>
  <c r="N278" i="5"/>
  <c r="M278" i="5"/>
  <c r="L278" i="5"/>
  <c r="J276" i="5"/>
  <c r="I271" i="5"/>
  <c r="N269" i="5"/>
  <c r="N267" i="5" s="1"/>
  <c r="M269" i="5"/>
  <c r="P269" i="5" s="1"/>
  <c r="L269" i="5"/>
  <c r="O269" i="5" s="1"/>
  <c r="P268" i="5"/>
  <c r="O268" i="5"/>
  <c r="N266" i="5"/>
  <c r="N264" i="5" s="1"/>
  <c r="M266" i="5"/>
  <c r="L266" i="5"/>
  <c r="L264" i="5" s="1"/>
  <c r="P265" i="5"/>
  <c r="O265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J248" i="5"/>
  <c r="J226" i="5" s="1"/>
  <c r="J180" i="5" s="1"/>
  <c r="K247" i="5"/>
  <c r="K246" i="5"/>
  <c r="I244" i="5"/>
  <c r="L242" i="5"/>
  <c r="L241" i="5"/>
  <c r="L240" i="5"/>
  <c r="L239" i="5"/>
  <c r="P238" i="5"/>
  <c r="N238" i="5"/>
  <c r="N227" i="5" s="1"/>
  <c r="J237" i="5"/>
  <c r="J236" i="5"/>
  <c r="I236" i="5"/>
  <c r="K236" i="5" s="1"/>
  <c r="J235" i="5"/>
  <c r="I235" i="5"/>
  <c r="K235" i="5" s="1"/>
  <c r="J233" i="5"/>
  <c r="N231" i="5"/>
  <c r="N230" i="5"/>
  <c r="N229" i="5"/>
  <c r="N228" i="5"/>
  <c r="I225" i="5"/>
  <c r="K225" i="5" s="1"/>
  <c r="I224" i="5"/>
  <c r="I216" i="5" s="1"/>
  <c r="I223" i="5"/>
  <c r="K223" i="5" s="1"/>
  <c r="L220" i="5"/>
  <c r="L219" i="5"/>
  <c r="L218" i="5"/>
  <c r="P217" i="5"/>
  <c r="N217" i="5"/>
  <c r="J216" i="5"/>
  <c r="I215" i="5"/>
  <c r="I208" i="5" s="1"/>
  <c r="K208" i="5" s="1"/>
  <c r="I214" i="5"/>
  <c r="K214" i="5" s="1"/>
  <c r="L212" i="5"/>
  <c r="L211" i="5"/>
  <c r="L210" i="5"/>
  <c r="P209" i="5"/>
  <c r="N209" i="5"/>
  <c r="J208" i="5"/>
  <c r="K207" i="5"/>
  <c r="K206" i="5"/>
  <c r="I204" i="5"/>
  <c r="I197" i="5" s="1"/>
  <c r="K197" i="5" s="1"/>
  <c r="L202" i="5"/>
  <c r="L201" i="5"/>
  <c r="L200" i="5"/>
  <c r="L199" i="5"/>
  <c r="P198" i="5"/>
  <c r="N198" i="5"/>
  <c r="J197" i="5"/>
  <c r="J194" i="5"/>
  <c r="I193" i="5"/>
  <c r="I190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N184" i="5" s="1"/>
  <c r="M186" i="5"/>
  <c r="L186" i="5"/>
  <c r="P185" i="5"/>
  <c r="O185" i="5"/>
  <c r="N182" i="5"/>
  <c r="M182" i="5"/>
  <c r="P182" i="5" s="1"/>
  <c r="L182" i="5"/>
  <c r="O182" i="5" s="1"/>
  <c r="J177" i="5"/>
  <c r="I176" i="5"/>
  <c r="J174" i="5"/>
  <c r="N173" i="5"/>
  <c r="N171" i="5" s="1"/>
  <c r="M173" i="5"/>
  <c r="L173" i="5"/>
  <c r="P172" i="5"/>
  <c r="O172" i="5"/>
  <c r="N170" i="5"/>
  <c r="M170" i="5"/>
  <c r="L170" i="5"/>
  <c r="P169" i="5"/>
  <c r="O169" i="5"/>
  <c r="N166" i="5"/>
  <c r="M166" i="5"/>
  <c r="P166" i="5" s="1"/>
  <c r="L166" i="5"/>
  <c r="O166" i="5" s="1"/>
  <c r="J164" i="5"/>
  <c r="I159" i="5"/>
  <c r="K159" i="5" s="1"/>
  <c r="N157" i="5"/>
  <c r="N155" i="5" s="1"/>
  <c r="M157" i="5"/>
  <c r="P157" i="5" s="1"/>
  <c r="L157" i="5"/>
  <c r="L155" i="5" s="1"/>
  <c r="O155" i="5" s="1"/>
  <c r="P156" i="5"/>
  <c r="O156" i="5"/>
  <c r="N154" i="5"/>
  <c r="N152" i="5" s="1"/>
  <c r="M154" i="5"/>
  <c r="P154" i="5" s="1"/>
  <c r="L154" i="5"/>
  <c r="O154" i="5" s="1"/>
  <c r="P153" i="5"/>
  <c r="O153" i="5"/>
  <c r="P150" i="5"/>
  <c r="O150" i="5"/>
  <c r="N150" i="5"/>
  <c r="M150" i="5"/>
  <c r="L150" i="5"/>
  <c r="J148" i="5"/>
  <c r="I146" i="5"/>
  <c r="K146" i="5" s="1"/>
  <c r="I145" i="5"/>
  <c r="K145" i="5" s="1"/>
  <c r="I144" i="5"/>
  <c r="K144" i="5" s="1"/>
  <c r="N140" i="5"/>
  <c r="N138" i="5" s="1"/>
  <c r="M140" i="5"/>
  <c r="P140" i="5" s="1"/>
  <c r="L140" i="5"/>
  <c r="P139" i="5"/>
  <c r="O139" i="5"/>
  <c r="N137" i="5"/>
  <c r="M137" i="5"/>
  <c r="P137" i="5" s="1"/>
  <c r="L137" i="5"/>
  <c r="P136" i="5"/>
  <c r="O136" i="5"/>
  <c r="N133" i="5"/>
  <c r="M133" i="5"/>
  <c r="L133" i="5"/>
  <c r="O133" i="5" s="1"/>
  <c r="J130" i="5"/>
  <c r="N127" i="5"/>
  <c r="N125" i="5" s="1"/>
  <c r="M127" i="5"/>
  <c r="M125" i="5" s="1"/>
  <c r="P125" i="5" s="1"/>
  <c r="L127" i="5"/>
  <c r="O127" i="5" s="1"/>
  <c r="P126" i="5"/>
  <c r="O126" i="5"/>
  <c r="N124" i="5"/>
  <c r="M124" i="5"/>
  <c r="M122" i="5" s="1"/>
  <c r="P122" i="5" s="1"/>
  <c r="L124" i="5"/>
  <c r="O124" i="5" s="1"/>
  <c r="P123" i="5"/>
  <c r="O123" i="5"/>
  <c r="P120" i="5"/>
  <c r="O120" i="5"/>
  <c r="N120" i="5"/>
  <c r="M120" i="5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K111" i="5" s="1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J87" i="5" s="1"/>
  <c r="I99" i="5"/>
  <c r="J98" i="5"/>
  <c r="I98" i="5"/>
  <c r="K98" i="5" s="1"/>
  <c r="N96" i="5"/>
  <c r="N94" i="5" s="1"/>
  <c r="M96" i="5"/>
  <c r="L96" i="5"/>
  <c r="P95" i="5"/>
  <c r="O95" i="5"/>
  <c r="N93" i="5"/>
  <c r="N91" i="5" s="1"/>
  <c r="M93" i="5"/>
  <c r="L93" i="5"/>
  <c r="L91" i="5" s="1"/>
  <c r="P92" i="5"/>
  <c r="O92" i="5"/>
  <c r="N89" i="5"/>
  <c r="M89" i="5"/>
  <c r="P89" i="5" s="1"/>
  <c r="L89" i="5"/>
  <c r="O89" i="5" s="1"/>
  <c r="J86" i="5"/>
  <c r="I84" i="5"/>
  <c r="K84" i="5" s="1"/>
  <c r="I83" i="5"/>
  <c r="K83" i="5" s="1"/>
  <c r="I82" i="5"/>
  <c r="I81" i="5"/>
  <c r="K81" i="5" s="1"/>
  <c r="I80" i="5"/>
  <c r="K80" i="5" s="1"/>
  <c r="I79" i="5"/>
  <c r="I78" i="5"/>
  <c r="K78" i="5" s="1"/>
  <c r="J77" i="5"/>
  <c r="J76" i="5"/>
  <c r="J64" i="5" s="1"/>
  <c r="N74" i="5"/>
  <c r="N72" i="5" s="1"/>
  <c r="M74" i="5"/>
  <c r="P74" i="5" s="1"/>
  <c r="L74" i="5"/>
  <c r="P73" i="5"/>
  <c r="O73" i="5"/>
  <c r="N71" i="5"/>
  <c r="N69" i="5" s="1"/>
  <c r="M71" i="5"/>
  <c r="M69" i="5" s="1"/>
  <c r="L71" i="5"/>
  <c r="P70" i="5"/>
  <c r="O70" i="5"/>
  <c r="N67" i="5"/>
  <c r="M67" i="5"/>
  <c r="L67" i="5"/>
  <c r="O67" i="5" s="1"/>
  <c r="J65" i="5"/>
  <c r="N61" i="5"/>
  <c r="N59" i="5" s="1"/>
  <c r="M61" i="5"/>
  <c r="L61" i="5"/>
  <c r="L59" i="5" s="1"/>
  <c r="P60" i="5"/>
  <c r="O60" i="5"/>
  <c r="N58" i="5"/>
  <c r="M58" i="5"/>
  <c r="M56" i="5" s="1"/>
  <c r="L58" i="5"/>
  <c r="L56" i="5" s="1"/>
  <c r="P57" i="5"/>
  <c r="O57" i="5"/>
  <c r="P54" i="5"/>
  <c r="O54" i="5"/>
  <c r="N54" i="5"/>
  <c r="M54" i="5"/>
  <c r="L54" i="5"/>
  <c r="N49" i="5"/>
  <c r="N47" i="5" s="1"/>
  <c r="M49" i="5"/>
  <c r="P49" i="5" s="1"/>
  <c r="L49" i="5"/>
  <c r="P48" i="5"/>
  <c r="O48" i="5"/>
  <c r="N46" i="5"/>
  <c r="N44" i="5" s="1"/>
  <c r="M46" i="5"/>
  <c r="M44" i="5" s="1"/>
  <c r="L46" i="5"/>
  <c r="P45" i="5"/>
  <c r="O45" i="5"/>
  <c r="N42" i="5"/>
  <c r="M42" i="5"/>
  <c r="L42" i="5"/>
  <c r="O42" i="5" s="1"/>
  <c r="P36" i="5"/>
  <c r="N36" i="5"/>
  <c r="M36" i="5"/>
  <c r="O35" i="5"/>
  <c r="N35" i="5"/>
  <c r="M35" i="5"/>
  <c r="P35" i="5" s="1"/>
  <c r="L35" i="5"/>
  <c r="N34" i="5"/>
  <c r="M33" i="5"/>
  <c r="P32" i="5"/>
  <c r="N32" i="5"/>
  <c r="M32" i="5"/>
  <c r="M31" i="5" s="1"/>
  <c r="P31" i="5" s="1"/>
  <c r="L32" i="5"/>
  <c r="N29" i="5"/>
  <c r="M29" i="5"/>
  <c r="P29" i="5" s="1"/>
  <c r="P25" i="5"/>
  <c r="N25" i="5"/>
  <c r="M25" i="5"/>
  <c r="L25" i="5"/>
  <c r="O22" i="5"/>
  <c r="N22" i="5"/>
  <c r="M22" i="5"/>
  <c r="L22" i="5"/>
  <c r="L19" i="5"/>
  <c r="N15" i="5"/>
  <c r="L12" i="5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N805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N786" i="4" s="1"/>
  <c r="L791" i="4"/>
  <c r="O791" i="4" s="1"/>
  <c r="P790" i="4"/>
  <c r="O790" i="4"/>
  <c r="P789" i="4"/>
  <c r="N789" i="4"/>
  <c r="M789" i="4"/>
  <c r="L789" i="4"/>
  <c r="O789" i="4" s="1"/>
  <c r="M788" i="4"/>
  <c r="P787" i="4"/>
  <c r="N787" i="4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N695" i="4"/>
  <c r="M695" i="4"/>
  <c r="P695" i="4" s="1"/>
  <c r="L695" i="4"/>
  <c r="O695" i="4" s="1"/>
  <c r="P690" i="4"/>
  <c r="N690" i="4"/>
  <c r="N687" i="4" s="1"/>
  <c r="N685" i="4" s="1"/>
  <c r="L690" i="4"/>
  <c r="N688" i="4"/>
  <c r="M688" i="4"/>
  <c r="P688" i="4" s="1"/>
  <c r="M687" i="4"/>
  <c r="P686" i="4"/>
  <c r="N686" i="4"/>
  <c r="M686" i="4"/>
  <c r="L686" i="4"/>
  <c r="J679" i="4"/>
  <c r="J678" i="4" s="1"/>
  <c r="I678" i="4"/>
  <c r="K678" i="4" s="1"/>
  <c r="J675" i="4"/>
  <c r="I671" i="4"/>
  <c r="K671" i="4" s="1"/>
  <c r="I670" i="4"/>
  <c r="K670" i="4" s="1"/>
  <c r="J669" i="4"/>
  <c r="I669" i="4"/>
  <c r="K673" i="4" s="1"/>
  <c r="P667" i="4"/>
  <c r="O667" i="4"/>
  <c r="P666" i="4"/>
  <c r="O666" i="4"/>
  <c r="N665" i="4"/>
  <c r="M665" i="4"/>
  <c r="P665" i="4" s="1"/>
  <c r="L665" i="4"/>
  <c r="O665" i="4" s="1"/>
  <c r="N664" i="4"/>
  <c r="P660" i="4"/>
  <c r="N660" i="4"/>
  <c r="N657" i="4" s="1"/>
  <c r="N655" i="4" s="1"/>
  <c r="L660" i="4"/>
  <c r="P659" i="4"/>
  <c r="O659" i="4"/>
  <c r="N658" i="4"/>
  <c r="M658" i="4"/>
  <c r="P658" i="4" s="1"/>
  <c r="M657" i="4"/>
  <c r="P657" i="4" s="1"/>
  <c r="P656" i="4"/>
  <c r="N656" i="4"/>
  <c r="M656" i="4"/>
  <c r="L656" i="4"/>
  <c r="O656" i="4" s="1"/>
  <c r="J654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8" i="4"/>
  <c r="N637" i="4"/>
  <c r="P634" i="4"/>
  <c r="N634" i="4"/>
  <c r="L634" i="4"/>
  <c r="P633" i="4"/>
  <c r="O633" i="4"/>
  <c r="P632" i="4"/>
  <c r="N632" i="4"/>
  <c r="M632" i="4"/>
  <c r="N631" i="4"/>
  <c r="M631" i="4"/>
  <c r="P631" i="4" s="1"/>
  <c r="N630" i="4"/>
  <c r="N629" i="4" s="1"/>
  <c r="M630" i="4"/>
  <c r="P630" i="4" s="1"/>
  <c r="L630" i="4"/>
  <c r="M629" i="4"/>
  <c r="P629" i="4" s="1"/>
  <c r="J621" i="4"/>
  <c r="I621" i="4"/>
  <c r="K621" i="4" s="1"/>
  <c r="J620" i="4"/>
  <c r="I620" i="4"/>
  <c r="K620" i="4" s="1"/>
  <c r="K613" i="4"/>
  <c r="J613" i="4"/>
  <c r="K612" i="4"/>
  <c r="J612" i="4"/>
  <c r="K611" i="4"/>
  <c r="J611" i="4"/>
  <c r="J604" i="4"/>
  <c r="J603" i="4"/>
  <c r="J593" i="4" s="1"/>
  <c r="J592" i="4" s="1"/>
  <c r="J596" i="4"/>
  <c r="J594" i="4" s="1"/>
  <c r="J595" i="4"/>
  <c r="I594" i="4"/>
  <c r="I593" i="4"/>
  <c r="I592" i="4" s="1"/>
  <c r="J583" i="4"/>
  <c r="J577" i="4" s="1"/>
  <c r="J582" i="4"/>
  <c r="I577" i="4"/>
  <c r="J576" i="4"/>
  <c r="J559" i="4" s="1"/>
  <c r="J543" i="4" s="1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P557" i="4"/>
  <c r="L557" i="4"/>
  <c r="O557" i="4" s="1"/>
  <c r="P556" i="4"/>
  <c r="O556" i="4"/>
  <c r="N555" i="4"/>
  <c r="N545" i="4" s="1"/>
  <c r="N544" i="4" s="1"/>
  <c r="M555" i="4"/>
  <c r="P555" i="4" s="1"/>
  <c r="N553" i="4"/>
  <c r="P549" i="4"/>
  <c r="N549" i="4"/>
  <c r="N546" i="4" s="1"/>
  <c r="L549" i="4"/>
  <c r="L547" i="4" s="1"/>
  <c r="P548" i="4"/>
  <c r="O548" i="4"/>
  <c r="N547" i="4"/>
  <c r="M547" i="4"/>
  <c r="P547" i="4" s="1"/>
  <c r="M546" i="4"/>
  <c r="P546" i="4" s="1"/>
  <c r="L545" i="4"/>
  <c r="I542" i="4"/>
  <c r="K542" i="4" s="1"/>
  <c r="I541" i="4"/>
  <c r="K541" i="4" s="1"/>
  <c r="I540" i="4"/>
  <c r="K540" i="4" s="1"/>
  <c r="I539" i="4"/>
  <c r="K539" i="4" s="1"/>
  <c r="I538" i="4"/>
  <c r="I537" i="4"/>
  <c r="K537" i="4" s="1"/>
  <c r="P535" i="4"/>
  <c r="L535" i="4"/>
  <c r="P534" i="4"/>
  <c r="O534" i="4"/>
  <c r="N533" i="4"/>
  <c r="M533" i="4"/>
  <c r="P533" i="4" s="1"/>
  <c r="P528" i="4"/>
  <c r="N528" i="4"/>
  <c r="L528" i="4"/>
  <c r="O528" i="4" s="1"/>
  <c r="P527" i="4"/>
  <c r="O527" i="4"/>
  <c r="P526" i="4"/>
  <c r="N526" i="4"/>
  <c r="M526" i="4"/>
  <c r="N525" i="4"/>
  <c r="M525" i="4"/>
  <c r="P525" i="4" s="1"/>
  <c r="P524" i="4"/>
  <c r="N524" i="4"/>
  <c r="N523" i="4" s="1"/>
  <c r="M524" i="4"/>
  <c r="L524" i="4"/>
  <c r="O524" i="4" s="1"/>
  <c r="M523" i="4"/>
  <c r="P523" i="4" s="1"/>
  <c r="K517" i="4"/>
  <c r="J517" i="4"/>
  <c r="K516" i="4"/>
  <c r="P514" i="4"/>
  <c r="O514" i="4"/>
  <c r="P513" i="4"/>
  <c r="O513" i="4"/>
  <c r="P512" i="4"/>
  <c r="N512" i="4"/>
  <c r="M512" i="4"/>
  <c r="L512" i="4"/>
  <c r="O512" i="4" s="1"/>
  <c r="P507" i="4"/>
  <c r="O507" i="4"/>
  <c r="N507" i="4"/>
  <c r="N504" i="4" s="1"/>
  <c r="P506" i="4"/>
  <c r="O506" i="4"/>
  <c r="P505" i="4"/>
  <c r="O505" i="4"/>
  <c r="M505" i="4"/>
  <c r="L505" i="4"/>
  <c r="O504" i="4"/>
  <c r="M504" i="4"/>
  <c r="P504" i="4" s="1"/>
  <c r="L504" i="4"/>
  <c r="L502" i="4" s="1"/>
  <c r="O502" i="4" s="1"/>
  <c r="N503" i="4"/>
  <c r="M503" i="4"/>
  <c r="P503" i="4" s="1"/>
  <c r="L503" i="4"/>
  <c r="O503" i="4" s="1"/>
  <c r="M502" i="4"/>
  <c r="P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N477" i="4"/>
  <c r="M477" i="4"/>
  <c r="P477" i="4" s="1"/>
  <c r="P472" i="4"/>
  <c r="N472" i="4"/>
  <c r="N469" i="4" s="1"/>
  <c r="L472" i="4"/>
  <c r="O472" i="4" s="1"/>
  <c r="P471" i="4"/>
  <c r="O471" i="4"/>
  <c r="P470" i="4"/>
  <c r="N470" i="4"/>
  <c r="M470" i="4"/>
  <c r="M469" i="4"/>
  <c r="P469" i="4" s="1"/>
  <c r="P468" i="4"/>
  <c r="N468" i="4"/>
  <c r="N467" i="4" s="1"/>
  <c r="M468" i="4"/>
  <c r="L468" i="4"/>
  <c r="M467" i="4"/>
  <c r="P467" i="4" s="1"/>
  <c r="J466" i="4"/>
  <c r="I466" i="4"/>
  <c r="K466" i="4" s="1"/>
  <c r="J465" i="4"/>
  <c r="I465" i="4"/>
  <c r="I464" i="4"/>
  <c r="I463" i="4"/>
  <c r="I462" i="4"/>
  <c r="I443" i="4" s="1"/>
  <c r="K443" i="4" s="1"/>
  <c r="I460" i="4"/>
  <c r="K458" i="4"/>
  <c r="P456" i="4"/>
  <c r="L456" i="4"/>
  <c r="O456" i="4" s="1"/>
  <c r="P455" i="4"/>
  <c r="O455" i="4"/>
  <c r="P454" i="4"/>
  <c r="N454" i="4"/>
  <c r="M454" i="4"/>
  <c r="P449" i="4"/>
  <c r="N449" i="4"/>
  <c r="L449" i="4"/>
  <c r="P448" i="4"/>
  <c r="O448" i="4"/>
  <c r="N447" i="4"/>
  <c r="M447" i="4"/>
  <c r="P447" i="4" s="1"/>
  <c r="P446" i="4"/>
  <c r="N446" i="4"/>
  <c r="M446" i="4"/>
  <c r="P445" i="4"/>
  <c r="O445" i="4"/>
  <c r="N445" i="4"/>
  <c r="M445" i="4"/>
  <c r="L445" i="4"/>
  <c r="P444" i="4"/>
  <c r="N444" i="4"/>
  <c r="M444" i="4"/>
  <c r="J443" i="4"/>
  <c r="J442" i="4"/>
  <c r="I441" i="4"/>
  <c r="K441" i="4" s="1"/>
  <c r="I440" i="4"/>
  <c r="K440" i="4" s="1"/>
  <c r="I439" i="4"/>
  <c r="K439" i="4" s="1"/>
  <c r="I438" i="4"/>
  <c r="K438" i="4" s="1"/>
  <c r="I437" i="4"/>
  <c r="I435" i="4"/>
  <c r="K435" i="4" s="1"/>
  <c r="J434" i="4"/>
  <c r="P431" i="4"/>
  <c r="L431" i="4"/>
  <c r="O431" i="4" s="1"/>
  <c r="P430" i="4"/>
  <c r="O430" i="4"/>
  <c r="N429" i="4"/>
  <c r="M429" i="4"/>
  <c r="P429" i="4" s="1"/>
  <c r="P424" i="4"/>
  <c r="N424" i="4"/>
  <c r="L424" i="4"/>
  <c r="P423" i="4"/>
  <c r="O423" i="4"/>
  <c r="N422" i="4"/>
  <c r="M422" i="4"/>
  <c r="P422" i="4" s="1"/>
  <c r="P421" i="4"/>
  <c r="N421" i="4"/>
  <c r="M421" i="4"/>
  <c r="P420" i="4"/>
  <c r="O420" i="4"/>
  <c r="N420" i="4"/>
  <c r="M420" i="4"/>
  <c r="L420" i="4"/>
  <c r="N419" i="4"/>
  <c r="M419" i="4"/>
  <c r="P419" i="4" s="1"/>
  <c r="J418" i="4"/>
  <c r="K413" i="4"/>
  <c r="K412" i="4"/>
  <c r="N410" i="4"/>
  <c r="N408" i="4" s="1"/>
  <c r="M410" i="4"/>
  <c r="L410" i="4"/>
  <c r="O410" i="4" s="1"/>
  <c r="P409" i="4"/>
  <c r="O409" i="4"/>
  <c r="N407" i="4"/>
  <c r="N405" i="4" s="1"/>
  <c r="M407" i="4"/>
  <c r="P407" i="4" s="1"/>
  <c r="L407" i="4"/>
  <c r="L405" i="4" s="1"/>
  <c r="O405" i="4" s="1"/>
  <c r="P406" i="4"/>
  <c r="O406" i="4"/>
  <c r="N403" i="4"/>
  <c r="M403" i="4"/>
  <c r="L403" i="4"/>
  <c r="O403" i="4" s="1"/>
  <c r="K401" i="4"/>
  <c r="J401" i="4"/>
  <c r="I401" i="4"/>
  <c r="K400" i="4"/>
  <c r="K399" i="4"/>
  <c r="N397" i="4"/>
  <c r="N395" i="4" s="1"/>
  <c r="M397" i="4"/>
  <c r="M395" i="4" s="1"/>
  <c r="P395" i="4" s="1"/>
  <c r="L397" i="4"/>
  <c r="O397" i="4" s="1"/>
  <c r="P396" i="4"/>
  <c r="O396" i="4"/>
  <c r="N394" i="4"/>
  <c r="N392" i="4" s="1"/>
  <c r="M394" i="4"/>
  <c r="P394" i="4" s="1"/>
  <c r="L394" i="4"/>
  <c r="O394" i="4" s="1"/>
  <c r="P393" i="4"/>
  <c r="O393" i="4"/>
  <c r="O390" i="4"/>
  <c r="N390" i="4"/>
  <c r="M390" i="4"/>
  <c r="P390" i="4" s="1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P352" i="4"/>
  <c r="O352" i="4"/>
  <c r="N350" i="4"/>
  <c r="M350" i="4"/>
  <c r="L350" i="4"/>
  <c r="P349" i="4"/>
  <c r="O349" i="4"/>
  <c r="P346" i="4"/>
  <c r="O346" i="4"/>
  <c r="N346" i="4"/>
  <c r="M346" i="4"/>
  <c r="L346" i="4"/>
  <c r="J343" i="4"/>
  <c r="J342" i="4"/>
  <c r="J341" i="4"/>
  <c r="J340" i="4"/>
  <c r="I340" i="4"/>
  <c r="J338" i="4"/>
  <c r="I338" i="4"/>
  <c r="N336" i="4"/>
  <c r="N334" i="4" s="1"/>
  <c r="M336" i="4"/>
  <c r="P336" i="4" s="1"/>
  <c r="L336" i="4"/>
  <c r="O336" i="4" s="1"/>
  <c r="P335" i="4"/>
  <c r="O335" i="4"/>
  <c r="N333" i="4"/>
  <c r="M333" i="4"/>
  <c r="L333" i="4"/>
  <c r="P332" i="4"/>
  <c r="O332" i="4"/>
  <c r="P329" i="4"/>
  <c r="O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P322" i="4"/>
  <c r="O322" i="4"/>
  <c r="N320" i="4"/>
  <c r="N318" i="4" s="1"/>
  <c r="M320" i="4"/>
  <c r="P320" i="4" s="1"/>
  <c r="L320" i="4"/>
  <c r="P319" i="4"/>
  <c r="O319" i="4"/>
  <c r="N316" i="4"/>
  <c r="M316" i="4"/>
  <c r="P316" i="4" s="1"/>
  <c r="L316" i="4"/>
  <c r="O316" i="4" s="1"/>
  <c r="J314" i="4"/>
  <c r="I312" i="4"/>
  <c r="K312" i="4" s="1"/>
  <c r="I311" i="4"/>
  <c r="K311" i="4" s="1"/>
  <c r="I310" i="4"/>
  <c r="K310" i="4" s="1"/>
  <c r="I309" i="4"/>
  <c r="K309" i="4" s="1"/>
  <c r="N306" i="4"/>
  <c r="N304" i="4" s="1"/>
  <c r="M306" i="4"/>
  <c r="P306" i="4" s="1"/>
  <c r="L306" i="4"/>
  <c r="O306" i="4" s="1"/>
  <c r="P305" i="4"/>
  <c r="O305" i="4"/>
  <c r="N303" i="4"/>
  <c r="N301" i="4" s="1"/>
  <c r="M303" i="4"/>
  <c r="M301" i="4" s="1"/>
  <c r="P301" i="4" s="1"/>
  <c r="L303" i="4"/>
  <c r="O303" i="4" s="1"/>
  <c r="P302" i="4"/>
  <c r="O302" i="4"/>
  <c r="N299" i="4"/>
  <c r="M299" i="4"/>
  <c r="L299" i="4"/>
  <c r="O299" i="4" s="1"/>
  <c r="J297" i="4"/>
  <c r="I294" i="4"/>
  <c r="K294" i="4" s="1"/>
  <c r="I293" i="4"/>
  <c r="K293" i="4" s="1"/>
  <c r="I291" i="4"/>
  <c r="K291" i="4" s="1"/>
  <c r="I290" i="4"/>
  <c r="K290" i="4" s="1"/>
  <c r="I288" i="4"/>
  <c r="J288" i="4" s="1"/>
  <c r="J275" i="4" s="1"/>
  <c r="I287" i="4"/>
  <c r="I276" i="4" s="1"/>
  <c r="K276" i="4" s="1"/>
  <c r="N285" i="4"/>
  <c r="M285" i="4"/>
  <c r="P285" i="4" s="1"/>
  <c r="L285" i="4"/>
  <c r="L283" i="4" s="1"/>
  <c r="O283" i="4" s="1"/>
  <c r="P284" i="4"/>
  <c r="O284" i="4"/>
  <c r="N282" i="4"/>
  <c r="M282" i="4"/>
  <c r="M280" i="4" s="1"/>
  <c r="L282" i="4"/>
  <c r="L280" i="4" s="1"/>
  <c r="P281" i="4"/>
  <c r="O281" i="4"/>
  <c r="O278" i="4"/>
  <c r="N278" i="4"/>
  <c r="M278" i="4"/>
  <c r="P278" i="4" s="1"/>
  <c r="L278" i="4"/>
  <c r="J276" i="4"/>
  <c r="I271" i="4"/>
  <c r="I260" i="4" s="1"/>
  <c r="N269" i="4"/>
  <c r="N267" i="4" s="1"/>
  <c r="M269" i="4"/>
  <c r="P269" i="4" s="1"/>
  <c r="L269" i="4"/>
  <c r="L267" i="4" s="1"/>
  <c r="O267" i="4" s="1"/>
  <c r="P268" i="4"/>
  <c r="O268" i="4"/>
  <c r="N266" i="4"/>
  <c r="N264" i="4" s="1"/>
  <c r="M266" i="4"/>
  <c r="M264" i="4" s="1"/>
  <c r="L266" i="4"/>
  <c r="L264" i="4" s="1"/>
  <c r="P265" i="4"/>
  <c r="O265" i="4"/>
  <c r="N262" i="4"/>
  <c r="M262" i="4"/>
  <c r="P262" i="4" s="1"/>
  <c r="L262" i="4"/>
  <c r="O262" i="4" s="1"/>
  <c r="J260" i="4"/>
  <c r="K258" i="4"/>
  <c r="K257" i="4"/>
  <c r="I255" i="4"/>
  <c r="L253" i="4"/>
  <c r="L252" i="4"/>
  <c r="L251" i="4"/>
  <c r="L250" i="4"/>
  <c r="P249" i="4"/>
  <c r="N249" i="4"/>
  <c r="J248" i="4"/>
  <c r="J226" i="4" s="1"/>
  <c r="J180" i="4" s="1"/>
  <c r="K247" i="4"/>
  <c r="K246" i="4"/>
  <c r="I244" i="4"/>
  <c r="K244" i="4" s="1"/>
  <c r="L242" i="4"/>
  <c r="L241" i="4"/>
  <c r="L240" i="4"/>
  <c r="L239" i="4"/>
  <c r="P238" i="4"/>
  <c r="N238" i="4"/>
  <c r="N227" i="4" s="1"/>
  <c r="J237" i="4"/>
  <c r="J236" i="4"/>
  <c r="I236" i="4"/>
  <c r="K236" i="4" s="1"/>
  <c r="K235" i="4"/>
  <c r="J235" i="4"/>
  <c r="I235" i="4"/>
  <c r="J233" i="4"/>
  <c r="N231" i="4"/>
  <c r="N230" i="4"/>
  <c r="N229" i="4"/>
  <c r="N228" i="4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I208" i="4" s="1"/>
  <c r="K208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K193" i="4" s="1"/>
  <c r="P191" i="4"/>
  <c r="L191" i="4"/>
  <c r="O191" i="4" s="1"/>
  <c r="J190" i="4"/>
  <c r="N189" i="4"/>
  <c r="N187" i="4" s="1"/>
  <c r="M189" i="4"/>
  <c r="P189" i="4" s="1"/>
  <c r="L189" i="4"/>
  <c r="P188" i="4"/>
  <c r="O188" i="4"/>
  <c r="N186" i="4"/>
  <c r="M186" i="4"/>
  <c r="M184" i="4" s="1"/>
  <c r="L186" i="4"/>
  <c r="P185" i="4"/>
  <c r="O185" i="4"/>
  <c r="P182" i="4"/>
  <c r="N182" i="4"/>
  <c r="M182" i="4"/>
  <c r="L182" i="4"/>
  <c r="J177" i="4"/>
  <c r="I176" i="4"/>
  <c r="K176" i="4" s="1"/>
  <c r="J174" i="4"/>
  <c r="N173" i="4"/>
  <c r="N171" i="4" s="1"/>
  <c r="M173" i="4"/>
  <c r="P173" i="4" s="1"/>
  <c r="L173" i="4"/>
  <c r="P172" i="4"/>
  <c r="O172" i="4"/>
  <c r="N170" i="4"/>
  <c r="M170" i="4"/>
  <c r="L170" i="4"/>
  <c r="P169" i="4"/>
  <c r="O169" i="4"/>
  <c r="P166" i="4"/>
  <c r="N166" i="4"/>
  <c r="M166" i="4"/>
  <c r="L166" i="4"/>
  <c r="J164" i="4"/>
  <c r="I159" i="4"/>
  <c r="K159" i="4" s="1"/>
  <c r="N157" i="4"/>
  <c r="N155" i="4" s="1"/>
  <c r="M157" i="4"/>
  <c r="P157" i="4" s="1"/>
  <c r="L157" i="4"/>
  <c r="L155" i="4" s="1"/>
  <c r="O155" i="4" s="1"/>
  <c r="P156" i="4"/>
  <c r="O156" i="4"/>
  <c r="N154" i="4"/>
  <c r="N152" i="4" s="1"/>
  <c r="M154" i="4"/>
  <c r="M152" i="4" s="1"/>
  <c r="L154" i="4"/>
  <c r="L152" i="4" s="1"/>
  <c r="O152" i="4" s="1"/>
  <c r="P153" i="4"/>
  <c r="O153" i="4"/>
  <c r="N150" i="4"/>
  <c r="M150" i="4"/>
  <c r="P150" i="4" s="1"/>
  <c r="L150" i="4"/>
  <c r="O150" i="4" s="1"/>
  <c r="J148" i="4"/>
  <c r="I146" i="4"/>
  <c r="I145" i="4"/>
  <c r="I143" i="4" s="1"/>
  <c r="I144" i="4"/>
  <c r="N140" i="4"/>
  <c r="N138" i="4" s="1"/>
  <c r="M140" i="4"/>
  <c r="P140" i="4" s="1"/>
  <c r="L140" i="4"/>
  <c r="O140" i="4" s="1"/>
  <c r="P139" i="4"/>
  <c r="O139" i="4"/>
  <c r="N137" i="4"/>
  <c r="M137" i="4"/>
  <c r="P137" i="4" s="1"/>
  <c r="L137" i="4"/>
  <c r="O137" i="4" s="1"/>
  <c r="P136" i="4"/>
  <c r="O136" i="4"/>
  <c r="P133" i="4"/>
  <c r="O133" i="4"/>
  <c r="N133" i="4"/>
  <c r="M133" i="4"/>
  <c r="L133" i="4"/>
  <c r="J130" i="4"/>
  <c r="N127" i="4"/>
  <c r="N125" i="4" s="1"/>
  <c r="M127" i="4"/>
  <c r="P127" i="4" s="1"/>
  <c r="L127" i="4"/>
  <c r="L125" i="4" s="1"/>
  <c r="O125" i="4" s="1"/>
  <c r="P126" i="4"/>
  <c r="O126" i="4"/>
  <c r="N124" i="4"/>
  <c r="N122" i="4" s="1"/>
  <c r="M124" i="4"/>
  <c r="P124" i="4" s="1"/>
  <c r="L124" i="4"/>
  <c r="L122" i="4" s="1"/>
  <c r="O122" i="4" s="1"/>
  <c r="P123" i="4"/>
  <c r="O123" i="4"/>
  <c r="N120" i="4"/>
  <c r="M120" i="4"/>
  <c r="P120" i="4" s="1"/>
  <c r="L120" i="4"/>
  <c r="O120" i="4" s="1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K100" i="4" s="1"/>
  <c r="J99" i="4"/>
  <c r="I99" i="4"/>
  <c r="K99" i="4" s="1"/>
  <c r="J98" i="4"/>
  <c r="J86" i="4" s="1"/>
  <c r="I98" i="4"/>
  <c r="I86" i="4" s="1"/>
  <c r="K86" i="4" s="1"/>
  <c r="N96" i="4"/>
  <c r="M96" i="4"/>
  <c r="M94" i="4" s="1"/>
  <c r="P94" i="4" s="1"/>
  <c r="L96" i="4"/>
  <c r="P95" i="4"/>
  <c r="O95" i="4"/>
  <c r="N93" i="4"/>
  <c r="N91" i="4" s="1"/>
  <c r="M93" i="4"/>
  <c r="L93" i="4"/>
  <c r="P92" i="4"/>
  <c r="O92" i="4"/>
  <c r="P89" i="4"/>
  <c r="N89" i="4"/>
  <c r="M89" i="4"/>
  <c r="L89" i="4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K78" i="4" s="1"/>
  <c r="J77" i="4"/>
  <c r="J76" i="4"/>
  <c r="J64" i="4" s="1"/>
  <c r="N74" i="4"/>
  <c r="N72" i="4" s="1"/>
  <c r="M74" i="4"/>
  <c r="P74" i="4" s="1"/>
  <c r="L74" i="4"/>
  <c r="O74" i="4" s="1"/>
  <c r="P73" i="4"/>
  <c r="O73" i="4"/>
  <c r="N71" i="4"/>
  <c r="N69" i="4" s="1"/>
  <c r="M71" i="4"/>
  <c r="P71" i="4" s="1"/>
  <c r="L71" i="4"/>
  <c r="O71" i="4" s="1"/>
  <c r="P70" i="4"/>
  <c r="O70" i="4"/>
  <c r="P67" i="4"/>
  <c r="O67" i="4"/>
  <c r="N67" i="4"/>
  <c r="M67" i="4"/>
  <c r="L67" i="4"/>
  <c r="J65" i="4"/>
  <c r="N61" i="4"/>
  <c r="M61" i="4"/>
  <c r="P61" i="4" s="1"/>
  <c r="L61" i="4"/>
  <c r="L59" i="4" s="1"/>
  <c r="O59" i="4" s="1"/>
  <c r="P60" i="4"/>
  <c r="O60" i="4"/>
  <c r="N58" i="4"/>
  <c r="N56" i="4" s="1"/>
  <c r="M58" i="4"/>
  <c r="L58" i="4"/>
  <c r="L56" i="4" s="1"/>
  <c r="P57" i="4"/>
  <c r="O57" i="4"/>
  <c r="N54" i="4"/>
  <c r="M54" i="4"/>
  <c r="P54" i="4" s="1"/>
  <c r="L54" i="4"/>
  <c r="O54" i="4" s="1"/>
  <c r="N49" i="4"/>
  <c r="M49" i="4"/>
  <c r="P49" i="4" s="1"/>
  <c r="L49" i="4"/>
  <c r="L47" i="4" s="1"/>
  <c r="O47" i="4" s="1"/>
  <c r="P48" i="4"/>
  <c r="O48" i="4"/>
  <c r="N46" i="4"/>
  <c r="N44" i="4" s="1"/>
  <c r="M46" i="4"/>
  <c r="L46" i="4"/>
  <c r="P45" i="4"/>
  <c r="O45" i="4"/>
  <c r="P42" i="4"/>
  <c r="O42" i="4"/>
  <c r="N42" i="4"/>
  <c r="M42" i="4"/>
  <c r="L42" i="4"/>
  <c r="N36" i="4"/>
  <c r="M36" i="4"/>
  <c r="P36" i="4" s="1"/>
  <c r="N35" i="4"/>
  <c r="M35" i="4"/>
  <c r="L35" i="4"/>
  <c r="O35" i="4" s="1"/>
  <c r="P33" i="4"/>
  <c r="N33" i="4"/>
  <c r="M33" i="4"/>
  <c r="P32" i="4"/>
  <c r="O32" i="4"/>
  <c r="N32" i="4"/>
  <c r="N29" i="4" s="1"/>
  <c r="M32" i="4"/>
  <c r="M31" i="4" s="1"/>
  <c r="P31" i="4" s="1"/>
  <c r="L32" i="4"/>
  <c r="N31" i="4"/>
  <c r="N30" i="4"/>
  <c r="M30" i="4"/>
  <c r="P30" i="4" s="1"/>
  <c r="M29" i="4"/>
  <c r="P25" i="4"/>
  <c r="O25" i="4"/>
  <c r="N25" i="4"/>
  <c r="M25" i="4"/>
  <c r="L25" i="4"/>
  <c r="N22" i="4"/>
  <c r="M22" i="4"/>
  <c r="L22" i="4"/>
  <c r="N19" i="4"/>
  <c r="N15" i="4"/>
  <c r="M15" i="4"/>
  <c r="L15" i="4"/>
  <c r="O15" i="4" s="1"/>
  <c r="N12" i="4"/>
  <c r="N9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N815" i="3"/>
  <c r="M815" i="3"/>
  <c r="L815" i="3"/>
  <c r="O815" i="3" s="1"/>
  <c r="P810" i="3"/>
  <c r="O810" i="3"/>
  <c r="N810" i="3"/>
  <c r="N807" i="3" s="1"/>
  <c r="N805" i="3" s="1"/>
  <c r="P809" i="3"/>
  <c r="O809" i="3"/>
  <c r="P808" i="3"/>
  <c r="O808" i="3"/>
  <c r="N808" i="3"/>
  <c r="M808" i="3"/>
  <c r="L808" i="3"/>
  <c r="O807" i="3"/>
  <c r="M807" i="3"/>
  <c r="L807" i="3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O796" i="3"/>
  <c r="N796" i="3"/>
  <c r="M796" i="3"/>
  <c r="P796" i="3" s="1"/>
  <c r="L796" i="3"/>
  <c r="P791" i="3"/>
  <c r="N791" i="3"/>
  <c r="N788" i="3" s="1"/>
  <c r="N786" i="3" s="1"/>
  <c r="L791" i="3"/>
  <c r="L789" i="3" s="1"/>
  <c r="O789" i="3" s="1"/>
  <c r="P790" i="3"/>
  <c r="O790" i="3"/>
  <c r="P789" i="3"/>
  <c r="N789" i="3"/>
  <c r="M789" i="3"/>
  <c r="M788" i="3"/>
  <c r="P787" i="3"/>
  <c r="N787" i="3"/>
  <c r="M787" i="3"/>
  <c r="L787" i="3"/>
  <c r="P782" i="3"/>
  <c r="O782" i="3"/>
  <c r="P781" i="3"/>
  <c r="O781" i="3"/>
  <c r="O780" i="3"/>
  <c r="N780" i="3"/>
  <c r="M780" i="3"/>
  <c r="P780" i="3" s="1"/>
  <c r="L780" i="3"/>
  <c r="P775" i="3"/>
  <c r="O775" i="3"/>
  <c r="N775" i="3"/>
  <c r="P774" i="3"/>
  <c r="O774" i="3"/>
  <c r="O773" i="3"/>
  <c r="N773" i="3"/>
  <c r="M773" i="3"/>
  <c r="P773" i="3" s="1"/>
  <c r="L773" i="3"/>
  <c r="P772" i="3"/>
  <c r="N772" i="3"/>
  <c r="N770" i="3" s="1"/>
  <c r="M772" i="3"/>
  <c r="L772" i="3"/>
  <c r="O772" i="3" s="1"/>
  <c r="O771" i="3"/>
  <c r="N771" i="3"/>
  <c r="M771" i="3"/>
  <c r="L771" i="3"/>
  <c r="L770" i="3"/>
  <c r="O770" i="3" s="1"/>
  <c r="K769" i="3"/>
  <c r="J769" i="3"/>
  <c r="P766" i="3"/>
  <c r="O766" i="3"/>
  <c r="P765" i="3"/>
  <c r="O765" i="3"/>
  <c r="O764" i="3"/>
  <c r="N764" i="3"/>
  <c r="M764" i="3"/>
  <c r="P764" i="3" s="1"/>
  <c r="L764" i="3"/>
  <c r="P759" i="3"/>
  <c r="O759" i="3"/>
  <c r="N759" i="3"/>
  <c r="P758" i="3"/>
  <c r="O758" i="3"/>
  <c r="O757" i="3"/>
  <c r="N757" i="3"/>
  <c r="M757" i="3"/>
  <c r="P757" i="3" s="1"/>
  <c r="L757" i="3"/>
  <c r="P756" i="3"/>
  <c r="N756" i="3"/>
  <c r="N754" i="3" s="1"/>
  <c r="M756" i="3"/>
  <c r="L756" i="3"/>
  <c r="O756" i="3" s="1"/>
  <c r="O755" i="3"/>
  <c r="N755" i="3"/>
  <c r="M755" i="3"/>
  <c r="L755" i="3"/>
  <c r="L754" i="3"/>
  <c r="O754" i="3" s="1"/>
  <c r="K753" i="3"/>
  <c r="J753" i="3"/>
  <c r="P749" i="3"/>
  <c r="O749" i="3"/>
  <c r="P748" i="3"/>
  <c r="O748" i="3"/>
  <c r="O747" i="3"/>
  <c r="N747" i="3"/>
  <c r="M747" i="3"/>
  <c r="P747" i="3" s="1"/>
  <c r="L747" i="3"/>
  <c r="P742" i="3"/>
  <c r="O742" i="3"/>
  <c r="N742" i="3"/>
  <c r="P741" i="3"/>
  <c r="O741" i="3"/>
  <c r="O740" i="3"/>
  <c r="N740" i="3"/>
  <c r="M740" i="3"/>
  <c r="P740" i="3" s="1"/>
  <c r="L740" i="3"/>
  <c r="P739" i="3"/>
  <c r="N739" i="3"/>
  <c r="N737" i="3" s="1"/>
  <c r="M739" i="3"/>
  <c r="L739" i="3"/>
  <c r="O739" i="3" s="1"/>
  <c r="O738" i="3"/>
  <c r="N738" i="3"/>
  <c r="M738" i="3"/>
  <c r="L738" i="3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O695" i="3"/>
  <c r="N695" i="3"/>
  <c r="M695" i="3"/>
  <c r="P695" i="3" s="1"/>
  <c r="L695" i="3"/>
  <c r="P690" i="3"/>
  <c r="N690" i="3"/>
  <c r="N687" i="3" s="1"/>
  <c r="L690" i="3"/>
  <c r="O690" i="3" s="1"/>
  <c r="P688" i="3"/>
  <c r="N688" i="3"/>
  <c r="M688" i="3"/>
  <c r="M687" i="3"/>
  <c r="P686" i="3"/>
  <c r="N686" i="3"/>
  <c r="M686" i="3"/>
  <c r="L686" i="3"/>
  <c r="J679" i="3"/>
  <c r="J678" i="3" s="1"/>
  <c r="I678" i="3"/>
  <c r="K678" i="3" s="1"/>
  <c r="J675" i="3"/>
  <c r="I671" i="3"/>
  <c r="K671" i="3" s="1"/>
  <c r="I670" i="3"/>
  <c r="K670" i="3" s="1"/>
  <c r="J669" i="3"/>
  <c r="I669" i="3"/>
  <c r="K673" i="3" s="1"/>
  <c r="P667" i="3"/>
  <c r="O667" i="3"/>
  <c r="P666" i="3"/>
  <c r="O666" i="3"/>
  <c r="P665" i="3"/>
  <c r="N665" i="3"/>
  <c r="M665" i="3"/>
  <c r="L665" i="3"/>
  <c r="O665" i="3" s="1"/>
  <c r="P660" i="3"/>
  <c r="N660" i="3"/>
  <c r="N657" i="3" s="1"/>
  <c r="L660" i="3"/>
  <c r="O660" i="3" s="1"/>
  <c r="P659" i="3"/>
  <c r="O659" i="3"/>
  <c r="N658" i="3"/>
  <c r="M658" i="3"/>
  <c r="P658" i="3" s="1"/>
  <c r="P657" i="3"/>
  <c r="M657" i="3"/>
  <c r="M655" i="3" s="1"/>
  <c r="P655" i="3" s="1"/>
  <c r="O656" i="3"/>
  <c r="N656" i="3"/>
  <c r="M656" i="3"/>
  <c r="P656" i="3" s="1"/>
  <c r="L656" i="3"/>
  <c r="N655" i="3"/>
  <c r="J654" i="3"/>
  <c r="K652" i="3"/>
  <c r="J652" i="3"/>
  <c r="J651" i="3"/>
  <c r="J628" i="3" s="1"/>
  <c r="I651" i="3"/>
  <c r="I628" i="3" s="1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L639" i="3" s="1"/>
  <c r="O639" i="3" s="1"/>
  <c r="P640" i="3"/>
  <c r="O640" i="3"/>
  <c r="P639" i="3"/>
  <c r="N639" i="3"/>
  <c r="M639" i="3"/>
  <c r="P634" i="3"/>
  <c r="N634" i="3"/>
  <c r="L634" i="3"/>
  <c r="P633" i="3"/>
  <c r="O633" i="3"/>
  <c r="N632" i="3"/>
  <c r="M632" i="3"/>
  <c r="P632" i="3" s="1"/>
  <c r="N631" i="3"/>
  <c r="M631" i="3"/>
  <c r="P631" i="3" s="1"/>
  <c r="N630" i="3"/>
  <c r="N629" i="3" s="1"/>
  <c r="M630" i="3"/>
  <c r="P630" i="3" s="1"/>
  <c r="L630" i="3"/>
  <c r="O630" i="3" s="1"/>
  <c r="J621" i="3"/>
  <c r="I621" i="3"/>
  <c r="K621" i="3" s="1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J592" i="3" s="1"/>
  <c r="I593" i="3"/>
  <c r="I592" i="3" s="1"/>
  <c r="K592" i="3" s="1"/>
  <c r="J583" i="3"/>
  <c r="J582" i="3"/>
  <c r="J576" i="3" s="1"/>
  <c r="J577" i="3"/>
  <c r="I577" i="3"/>
  <c r="I576" i="3"/>
  <c r="I559" i="3" s="1"/>
  <c r="J569" i="3"/>
  <c r="I569" i="3"/>
  <c r="J568" i="3"/>
  <c r="I568" i="3"/>
  <c r="K568" i="3" s="1"/>
  <c r="J561" i="3"/>
  <c r="I561" i="3"/>
  <c r="K561" i="3" s="1"/>
  <c r="J560" i="3"/>
  <c r="I560" i="3"/>
  <c r="K560" i="3" s="1"/>
  <c r="J559" i="3"/>
  <c r="J543" i="3" s="1"/>
  <c r="P557" i="3"/>
  <c r="L557" i="3"/>
  <c r="L555" i="3" s="1"/>
  <c r="O555" i="3" s="1"/>
  <c r="P556" i="3"/>
  <c r="O556" i="3"/>
  <c r="N555" i="3"/>
  <c r="M555" i="3"/>
  <c r="P555" i="3" s="1"/>
  <c r="P549" i="3"/>
  <c r="N549" i="3"/>
  <c r="L549" i="3"/>
  <c r="O549" i="3" s="1"/>
  <c r="P548" i="3"/>
  <c r="O548" i="3"/>
  <c r="P547" i="3"/>
  <c r="N547" i="3"/>
  <c r="M547" i="3"/>
  <c r="N546" i="3"/>
  <c r="M546" i="3"/>
  <c r="P546" i="3" s="1"/>
  <c r="N545" i="3"/>
  <c r="N544" i="3" s="1"/>
  <c r="L545" i="3"/>
  <c r="O545" i="3" s="1"/>
  <c r="I542" i="3"/>
  <c r="K542" i="3" s="1"/>
  <c r="I541" i="3"/>
  <c r="K541" i="3" s="1"/>
  <c r="I540" i="3"/>
  <c r="K540" i="3" s="1"/>
  <c r="I539" i="3"/>
  <c r="I538" i="3"/>
  <c r="K538" i="3" s="1"/>
  <c r="I537" i="3"/>
  <c r="K537" i="3" s="1"/>
  <c r="P535" i="3"/>
  <c r="L535" i="3"/>
  <c r="L533" i="3" s="1"/>
  <c r="O533" i="3" s="1"/>
  <c r="P534" i="3"/>
  <c r="O534" i="3"/>
  <c r="N533" i="3"/>
  <c r="M533" i="3"/>
  <c r="P533" i="3" s="1"/>
  <c r="P528" i="3"/>
  <c r="N528" i="3"/>
  <c r="L528" i="3"/>
  <c r="L526" i="3" s="1"/>
  <c r="O526" i="3" s="1"/>
  <c r="P527" i="3"/>
  <c r="O527" i="3"/>
  <c r="P526" i="3"/>
  <c r="M526" i="3"/>
  <c r="M525" i="3"/>
  <c r="P525" i="3" s="1"/>
  <c r="P524" i="3"/>
  <c r="N524" i="3"/>
  <c r="M524" i="3"/>
  <c r="L524" i="3"/>
  <c r="M523" i="3"/>
  <c r="P523" i="3" s="1"/>
  <c r="K517" i="3"/>
  <c r="J517" i="3"/>
  <c r="J501" i="3" s="1"/>
  <c r="K516" i="3"/>
  <c r="P514" i="3"/>
  <c r="O514" i="3"/>
  <c r="P513" i="3"/>
  <c r="O513" i="3"/>
  <c r="P512" i="3"/>
  <c r="N512" i="3"/>
  <c r="M512" i="3"/>
  <c r="L512" i="3"/>
  <c r="O512" i="3" s="1"/>
  <c r="P507" i="3"/>
  <c r="O507" i="3"/>
  <c r="N507" i="3"/>
  <c r="P506" i="3"/>
  <c r="O506" i="3"/>
  <c r="N505" i="3"/>
  <c r="M505" i="3"/>
  <c r="P505" i="3" s="1"/>
  <c r="L505" i="3"/>
  <c r="O505" i="3" s="1"/>
  <c r="N504" i="3"/>
  <c r="N502" i="3" s="1"/>
  <c r="M504" i="3"/>
  <c r="P504" i="3" s="1"/>
  <c r="L504" i="3"/>
  <c r="O504" i="3" s="1"/>
  <c r="N503" i="3"/>
  <c r="M503" i="3"/>
  <c r="L503" i="3"/>
  <c r="O503" i="3" s="1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P477" i="3"/>
  <c r="N477" i="3"/>
  <c r="M477" i="3"/>
  <c r="P472" i="3"/>
  <c r="N472" i="3"/>
  <c r="L472" i="3"/>
  <c r="O472" i="3" s="1"/>
  <c r="P471" i="3"/>
  <c r="O471" i="3"/>
  <c r="N470" i="3"/>
  <c r="M470" i="3"/>
  <c r="P470" i="3" s="1"/>
  <c r="N469" i="3"/>
  <c r="N467" i="3" s="1"/>
  <c r="M469" i="3"/>
  <c r="P469" i="3" s="1"/>
  <c r="N468" i="3"/>
  <c r="M468" i="3"/>
  <c r="M467" i="3" s="1"/>
  <c r="P467" i="3" s="1"/>
  <c r="L468" i="3"/>
  <c r="J466" i="3"/>
  <c r="I466" i="3"/>
  <c r="K466" i="3" s="1"/>
  <c r="J465" i="3"/>
  <c r="I465" i="3"/>
  <c r="K465" i="3" s="1"/>
  <c r="I464" i="3"/>
  <c r="I463" i="3"/>
  <c r="I462" i="3"/>
  <c r="K462" i="3" s="1"/>
  <c r="I460" i="3"/>
  <c r="K460" i="3" s="1"/>
  <c r="K458" i="3"/>
  <c r="P456" i="3"/>
  <c r="L456" i="3"/>
  <c r="L454" i="3" s="1"/>
  <c r="O454" i="3" s="1"/>
  <c r="P455" i="3"/>
  <c r="O455" i="3"/>
  <c r="P454" i="3"/>
  <c r="N454" i="3"/>
  <c r="M454" i="3"/>
  <c r="P449" i="3"/>
  <c r="N449" i="3"/>
  <c r="L449" i="3"/>
  <c r="L447" i="3" s="1"/>
  <c r="O447" i="3" s="1"/>
  <c r="P448" i="3"/>
  <c r="O448" i="3"/>
  <c r="N447" i="3"/>
  <c r="M447" i="3"/>
  <c r="P447" i="3" s="1"/>
  <c r="N446" i="3"/>
  <c r="M446" i="3"/>
  <c r="P446" i="3" s="1"/>
  <c r="N445" i="3"/>
  <c r="M445" i="3"/>
  <c r="P445" i="3" s="1"/>
  <c r="L445" i="3"/>
  <c r="O445" i="3" s="1"/>
  <c r="J443" i="3"/>
  <c r="J442" i="3"/>
  <c r="I441" i="3"/>
  <c r="K441" i="3" s="1"/>
  <c r="I440" i="3"/>
  <c r="K440" i="3" s="1"/>
  <c r="I439" i="3"/>
  <c r="K439" i="3" s="1"/>
  <c r="I438" i="3"/>
  <c r="I437" i="3"/>
  <c r="K437" i="3" s="1"/>
  <c r="I435" i="3"/>
  <c r="I433" i="3" s="1"/>
  <c r="J434" i="3"/>
  <c r="P431" i="3"/>
  <c r="L431" i="3"/>
  <c r="L429" i="3" s="1"/>
  <c r="O429" i="3" s="1"/>
  <c r="P430" i="3"/>
  <c r="O430" i="3"/>
  <c r="P429" i="3"/>
  <c r="N429" i="3"/>
  <c r="M429" i="3"/>
  <c r="P424" i="3"/>
  <c r="N424" i="3"/>
  <c r="L424" i="3"/>
  <c r="P423" i="3"/>
  <c r="O423" i="3"/>
  <c r="P422" i="3"/>
  <c r="N422" i="3"/>
  <c r="M422" i="3"/>
  <c r="N421" i="3"/>
  <c r="M421" i="3"/>
  <c r="P421" i="3" s="1"/>
  <c r="N420" i="3"/>
  <c r="N419" i="3" s="1"/>
  <c r="M420" i="3"/>
  <c r="P420" i="3" s="1"/>
  <c r="L420" i="3"/>
  <c r="O420" i="3" s="1"/>
  <c r="J418" i="3"/>
  <c r="K413" i="3"/>
  <c r="K412" i="3"/>
  <c r="N410" i="3"/>
  <c r="N408" i="3" s="1"/>
  <c r="M410" i="3"/>
  <c r="P410" i="3" s="1"/>
  <c r="L410" i="3"/>
  <c r="P409" i="3"/>
  <c r="O409" i="3"/>
  <c r="N407" i="3"/>
  <c r="N405" i="3" s="1"/>
  <c r="M407" i="3"/>
  <c r="P407" i="3" s="1"/>
  <c r="L407" i="3"/>
  <c r="P406" i="3"/>
  <c r="O406" i="3"/>
  <c r="P403" i="3"/>
  <c r="O403" i="3"/>
  <c r="N403" i="3"/>
  <c r="M403" i="3"/>
  <c r="L403" i="3"/>
  <c r="K401" i="3"/>
  <c r="J401" i="3"/>
  <c r="I401" i="3"/>
  <c r="K400" i="3"/>
  <c r="K399" i="3"/>
  <c r="N397" i="3"/>
  <c r="N395" i="3" s="1"/>
  <c r="M397" i="3"/>
  <c r="P397" i="3" s="1"/>
  <c r="L397" i="3"/>
  <c r="L395" i="3" s="1"/>
  <c r="O395" i="3" s="1"/>
  <c r="P396" i="3"/>
  <c r="O396" i="3"/>
  <c r="N394" i="3"/>
  <c r="N392" i="3" s="1"/>
  <c r="M394" i="3"/>
  <c r="P394" i="3" s="1"/>
  <c r="L394" i="3"/>
  <c r="L392" i="3" s="1"/>
  <c r="O392" i="3" s="1"/>
  <c r="P393" i="3"/>
  <c r="O393" i="3"/>
  <c r="N390" i="3"/>
  <c r="M390" i="3"/>
  <c r="L390" i="3"/>
  <c r="O390" i="3" s="1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I362" i="3"/>
  <c r="K361" i="3"/>
  <c r="J361" i="3"/>
  <c r="J360" i="3"/>
  <c r="I360" i="3"/>
  <c r="J359" i="3"/>
  <c r="I359" i="3"/>
  <c r="K358" i="3"/>
  <c r="J358" i="3"/>
  <c r="I355" i="3"/>
  <c r="N353" i="3"/>
  <c r="N351" i="3" s="1"/>
  <c r="M353" i="3"/>
  <c r="M351" i="3" s="1"/>
  <c r="L353" i="3"/>
  <c r="P352" i="3"/>
  <c r="O352" i="3"/>
  <c r="N350" i="3"/>
  <c r="N348" i="3" s="1"/>
  <c r="M350" i="3"/>
  <c r="M348" i="3" s="1"/>
  <c r="L350" i="3"/>
  <c r="L348" i="3" s="1"/>
  <c r="P349" i="3"/>
  <c r="O349" i="3"/>
  <c r="N346" i="3"/>
  <c r="M346" i="3"/>
  <c r="P346" i="3" s="1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N331" i="3" s="1"/>
  <c r="M333" i="3"/>
  <c r="L333" i="3"/>
  <c r="P332" i="3"/>
  <c r="O332" i="3"/>
  <c r="N329" i="3"/>
  <c r="M329" i="3"/>
  <c r="L329" i="3"/>
  <c r="O329" i="3" s="1"/>
  <c r="I327" i="3"/>
  <c r="I325" i="3"/>
  <c r="K325" i="3" s="1"/>
  <c r="N323" i="3"/>
  <c r="N321" i="3" s="1"/>
  <c r="M323" i="3"/>
  <c r="M321" i="3" s="1"/>
  <c r="P321" i="3" s="1"/>
  <c r="L323" i="3"/>
  <c r="L321" i="3" s="1"/>
  <c r="O321" i="3" s="1"/>
  <c r="P322" i="3"/>
  <c r="O322" i="3"/>
  <c r="N320" i="3"/>
  <c r="M320" i="3"/>
  <c r="P320" i="3" s="1"/>
  <c r="L320" i="3"/>
  <c r="O320" i="3" s="1"/>
  <c r="P319" i="3"/>
  <c r="O319" i="3"/>
  <c r="P316" i="3"/>
  <c r="O316" i="3"/>
  <c r="N316" i="3"/>
  <c r="M316" i="3"/>
  <c r="L316" i="3"/>
  <c r="J314" i="3"/>
  <c r="I312" i="3"/>
  <c r="K312" i="3" s="1"/>
  <c r="I311" i="3"/>
  <c r="K311" i="3" s="1"/>
  <c r="I310" i="3"/>
  <c r="K310" i="3" s="1"/>
  <c r="I309" i="3"/>
  <c r="K309" i="3" s="1"/>
  <c r="N306" i="3"/>
  <c r="N304" i="3" s="1"/>
  <c r="M306" i="3"/>
  <c r="P306" i="3" s="1"/>
  <c r="L306" i="3"/>
  <c r="L304" i="3" s="1"/>
  <c r="O304" i="3" s="1"/>
  <c r="P305" i="3"/>
  <c r="O305" i="3"/>
  <c r="N303" i="3"/>
  <c r="M303" i="3"/>
  <c r="M301" i="3" s="1"/>
  <c r="L303" i="3"/>
  <c r="P302" i="3"/>
  <c r="O302" i="3"/>
  <c r="O299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75" i="3" s="1"/>
  <c r="I287" i="3"/>
  <c r="N285" i="3"/>
  <c r="M285" i="3"/>
  <c r="P285" i="3" s="1"/>
  <c r="L285" i="3"/>
  <c r="O285" i="3" s="1"/>
  <c r="P284" i="3"/>
  <c r="O284" i="3"/>
  <c r="N282" i="3"/>
  <c r="N280" i="3" s="1"/>
  <c r="M282" i="3"/>
  <c r="M280" i="3" s="1"/>
  <c r="L282" i="3"/>
  <c r="P281" i="3"/>
  <c r="O281" i="3"/>
  <c r="P278" i="3"/>
  <c r="N278" i="3"/>
  <c r="M278" i="3"/>
  <c r="L278" i="3"/>
  <c r="J276" i="3"/>
  <c r="I271" i="3"/>
  <c r="I260" i="3" s="1"/>
  <c r="K260" i="3" s="1"/>
  <c r="N269" i="3"/>
  <c r="N267" i="3" s="1"/>
  <c r="M269" i="3"/>
  <c r="P269" i="3" s="1"/>
  <c r="L269" i="3"/>
  <c r="O269" i="3" s="1"/>
  <c r="P268" i="3"/>
  <c r="O268" i="3"/>
  <c r="N266" i="3"/>
  <c r="M266" i="3"/>
  <c r="M264" i="3" s="1"/>
  <c r="L266" i="3"/>
  <c r="L264" i="3" s="1"/>
  <c r="P265" i="3"/>
  <c r="O265" i="3"/>
  <c r="P262" i="3"/>
  <c r="N262" i="3"/>
  <c r="M262" i="3"/>
  <c r="L262" i="3"/>
  <c r="O262" i="3" s="1"/>
  <c r="J260" i="3"/>
  <c r="K258" i="3"/>
  <c r="K257" i="3"/>
  <c r="I255" i="3"/>
  <c r="K255" i="3" s="1"/>
  <c r="L253" i="3"/>
  <c r="L252" i="3"/>
  <c r="L251" i="3"/>
  <c r="L250" i="3"/>
  <c r="P249" i="3"/>
  <c r="N249" i="3"/>
  <c r="N227" i="3" s="1"/>
  <c r="J248" i="3"/>
  <c r="K247" i="3"/>
  <c r="K246" i="3"/>
  <c r="I244" i="3"/>
  <c r="L242" i="3"/>
  <c r="L241" i="3"/>
  <c r="L240" i="3"/>
  <c r="L239" i="3"/>
  <c r="P238" i="3"/>
  <c r="N238" i="3"/>
  <c r="J237" i="3"/>
  <c r="J226" i="3" s="1"/>
  <c r="J180" i="3" s="1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I216" i="3" s="1"/>
  <c r="K216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P191" i="3"/>
  <c r="L191" i="3"/>
  <c r="O191" i="3" s="1"/>
  <c r="J190" i="3"/>
  <c r="N189" i="3"/>
  <c r="N187" i="3" s="1"/>
  <c r="M189" i="3"/>
  <c r="P189" i="3" s="1"/>
  <c r="L189" i="3"/>
  <c r="O189" i="3" s="1"/>
  <c r="P188" i="3"/>
  <c r="O188" i="3"/>
  <c r="N186" i="3"/>
  <c r="N184" i="3" s="1"/>
  <c r="M186" i="3"/>
  <c r="M184" i="3" s="1"/>
  <c r="L186" i="3"/>
  <c r="P185" i="3"/>
  <c r="O185" i="3"/>
  <c r="O182" i="3"/>
  <c r="N182" i="3"/>
  <c r="M182" i="3"/>
  <c r="L182" i="3"/>
  <c r="J177" i="3"/>
  <c r="I176" i="3"/>
  <c r="I174" i="3" s="1"/>
  <c r="I164" i="3" s="1"/>
  <c r="J174" i="3"/>
  <c r="J164" i="3" s="1"/>
  <c r="N173" i="3"/>
  <c r="N171" i="3" s="1"/>
  <c r="M173" i="3"/>
  <c r="P173" i="3" s="1"/>
  <c r="L173" i="3"/>
  <c r="P172" i="3"/>
  <c r="O172" i="3"/>
  <c r="N170" i="3"/>
  <c r="N168" i="3" s="1"/>
  <c r="M170" i="3"/>
  <c r="L170" i="3"/>
  <c r="L168" i="3" s="1"/>
  <c r="P169" i="3"/>
  <c r="O169" i="3"/>
  <c r="P166" i="3"/>
  <c r="O166" i="3"/>
  <c r="N166" i="3"/>
  <c r="M166" i="3"/>
  <c r="L166" i="3"/>
  <c r="I159" i="3"/>
  <c r="K159" i="3" s="1"/>
  <c r="N157" i="3"/>
  <c r="N155" i="3" s="1"/>
  <c r="M157" i="3"/>
  <c r="P157" i="3" s="1"/>
  <c r="L157" i="3"/>
  <c r="O157" i="3" s="1"/>
  <c r="P156" i="3"/>
  <c r="O156" i="3"/>
  <c r="N154" i="3"/>
  <c r="M154" i="3"/>
  <c r="P154" i="3" s="1"/>
  <c r="L154" i="3"/>
  <c r="O154" i="3" s="1"/>
  <c r="P153" i="3"/>
  <c r="O153" i="3"/>
  <c r="N150" i="3"/>
  <c r="M150" i="3"/>
  <c r="L150" i="3"/>
  <c r="O150" i="3" s="1"/>
  <c r="J148" i="3"/>
  <c r="I146" i="3"/>
  <c r="K146" i="3" s="1"/>
  <c r="I145" i="3"/>
  <c r="I143" i="3" s="1"/>
  <c r="I144" i="3"/>
  <c r="N140" i="3"/>
  <c r="N138" i="3" s="1"/>
  <c r="M140" i="3"/>
  <c r="L140" i="3"/>
  <c r="O140" i="3" s="1"/>
  <c r="P139" i="3"/>
  <c r="O139" i="3"/>
  <c r="N137" i="3"/>
  <c r="M137" i="3"/>
  <c r="M135" i="3" s="1"/>
  <c r="P135" i="3" s="1"/>
  <c r="L137" i="3"/>
  <c r="O137" i="3" s="1"/>
  <c r="P136" i="3"/>
  <c r="O136" i="3"/>
  <c r="P133" i="3"/>
  <c r="N133" i="3"/>
  <c r="M133" i="3"/>
  <c r="L133" i="3"/>
  <c r="O133" i="3" s="1"/>
  <c r="J130" i="3"/>
  <c r="N127" i="3"/>
  <c r="N125" i="3" s="1"/>
  <c r="M127" i="3"/>
  <c r="P127" i="3" s="1"/>
  <c r="L127" i="3"/>
  <c r="O127" i="3" s="1"/>
  <c r="P126" i="3"/>
  <c r="O126" i="3"/>
  <c r="N124" i="3"/>
  <c r="N122" i="3" s="1"/>
  <c r="M124" i="3"/>
  <c r="M122" i="3" s="1"/>
  <c r="P122" i="3" s="1"/>
  <c r="L124" i="3"/>
  <c r="O124" i="3" s="1"/>
  <c r="P123" i="3"/>
  <c r="O123" i="3"/>
  <c r="N120" i="3"/>
  <c r="M120" i="3"/>
  <c r="L120" i="3"/>
  <c r="I116" i="3"/>
  <c r="K116" i="3" s="1"/>
  <c r="I115" i="3"/>
  <c r="K115" i="3" s="1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K100" i="3" s="1"/>
  <c r="J99" i="3"/>
  <c r="I99" i="3"/>
  <c r="K99" i="3" s="1"/>
  <c r="J98" i="3"/>
  <c r="I98" i="3"/>
  <c r="I86" i="3" s="1"/>
  <c r="N96" i="3"/>
  <c r="N94" i="3" s="1"/>
  <c r="M96" i="3"/>
  <c r="P96" i="3" s="1"/>
  <c r="L96" i="3"/>
  <c r="O96" i="3" s="1"/>
  <c r="P95" i="3"/>
  <c r="O95" i="3"/>
  <c r="N93" i="3"/>
  <c r="N91" i="3" s="1"/>
  <c r="M93" i="3"/>
  <c r="M91" i="3" s="1"/>
  <c r="L93" i="3"/>
  <c r="P92" i="3"/>
  <c r="O92" i="3"/>
  <c r="O89" i="3"/>
  <c r="N89" i="3"/>
  <c r="M89" i="3"/>
  <c r="L89" i="3"/>
  <c r="J87" i="3"/>
  <c r="J86" i="3"/>
  <c r="I84" i="3"/>
  <c r="K84" i="3" s="1"/>
  <c r="I83" i="3"/>
  <c r="K83" i="3" s="1"/>
  <c r="I82" i="3"/>
  <c r="K82" i="3" s="1"/>
  <c r="I81" i="3"/>
  <c r="K81" i="3" s="1"/>
  <c r="I80" i="3"/>
  <c r="K80" i="3" s="1"/>
  <c r="I79" i="3"/>
  <c r="I78" i="3"/>
  <c r="K78" i="3" s="1"/>
  <c r="J77" i="3"/>
  <c r="J65" i="3" s="1"/>
  <c r="J76" i="3"/>
  <c r="N74" i="3"/>
  <c r="N72" i="3" s="1"/>
  <c r="M74" i="3"/>
  <c r="M72" i="3" s="1"/>
  <c r="P72" i="3" s="1"/>
  <c r="L74" i="3"/>
  <c r="P73" i="3"/>
  <c r="O73" i="3"/>
  <c r="N71" i="3"/>
  <c r="M71" i="3"/>
  <c r="M69" i="3" s="1"/>
  <c r="L71" i="3"/>
  <c r="L69" i="3" s="1"/>
  <c r="P70" i="3"/>
  <c r="O70" i="3"/>
  <c r="N67" i="3"/>
  <c r="M67" i="3"/>
  <c r="P67" i="3" s="1"/>
  <c r="L67" i="3"/>
  <c r="J64" i="3"/>
  <c r="N61" i="3"/>
  <c r="N59" i="3" s="1"/>
  <c r="M61" i="3"/>
  <c r="M59" i="3" s="1"/>
  <c r="L61" i="3"/>
  <c r="L59" i="3" s="1"/>
  <c r="P60" i="3"/>
  <c r="O60" i="3"/>
  <c r="N58" i="3"/>
  <c r="N56" i="3" s="1"/>
  <c r="M58" i="3"/>
  <c r="L58" i="3"/>
  <c r="L56" i="3" s="1"/>
  <c r="P57" i="3"/>
  <c r="O57" i="3"/>
  <c r="P54" i="3"/>
  <c r="O54" i="3"/>
  <c r="N54" i="3"/>
  <c r="M54" i="3"/>
  <c r="L54" i="3"/>
  <c r="N49" i="3"/>
  <c r="M49" i="3"/>
  <c r="L49" i="3"/>
  <c r="L47" i="3" s="1"/>
  <c r="O47" i="3" s="1"/>
  <c r="P48" i="3"/>
  <c r="O48" i="3"/>
  <c r="N46" i="3"/>
  <c r="N44" i="3" s="1"/>
  <c r="M46" i="3"/>
  <c r="L46" i="3"/>
  <c r="L44" i="3" s="1"/>
  <c r="P45" i="3"/>
  <c r="O45" i="3"/>
  <c r="N42" i="3"/>
  <c r="M42" i="3"/>
  <c r="P42" i="3" s="1"/>
  <c r="L42" i="3"/>
  <c r="P36" i="3"/>
  <c r="N36" i="3"/>
  <c r="M36" i="3"/>
  <c r="P35" i="3"/>
  <c r="O35" i="3"/>
  <c r="N35" i="3"/>
  <c r="N34" i="3" s="1"/>
  <c r="M35" i="3"/>
  <c r="L35" i="3"/>
  <c r="M34" i="3"/>
  <c r="P34" i="3" s="1"/>
  <c r="M33" i="3"/>
  <c r="P33" i="3" s="1"/>
  <c r="N32" i="3"/>
  <c r="M32" i="3"/>
  <c r="P32" i="3" s="1"/>
  <c r="L32" i="3"/>
  <c r="O32" i="3" s="1"/>
  <c r="N29" i="3"/>
  <c r="N25" i="3"/>
  <c r="M25" i="3"/>
  <c r="P25" i="3" s="1"/>
  <c r="L25" i="3"/>
  <c r="O25" i="3" s="1"/>
  <c r="P22" i="3"/>
  <c r="O22" i="3"/>
  <c r="N22" i="3"/>
  <c r="M22" i="3"/>
  <c r="L22" i="3"/>
  <c r="M19" i="3"/>
  <c r="P19" i="3" s="1"/>
  <c r="L19" i="3"/>
  <c r="O19" i="3" s="1"/>
  <c r="N15" i="3"/>
  <c r="M12" i="3"/>
  <c r="P12" i="3" s="1"/>
  <c r="L12" i="3"/>
  <c r="O12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P815" i="2"/>
  <c r="O815" i="2"/>
  <c r="N815" i="2"/>
  <c r="M815" i="2"/>
  <c r="L815" i="2"/>
  <c r="P810" i="2"/>
  <c r="O810" i="2"/>
  <c r="N810" i="2"/>
  <c r="N807" i="2" s="1"/>
  <c r="N805" i="2" s="1"/>
  <c r="P809" i="2"/>
  <c r="O809" i="2"/>
  <c r="N808" i="2"/>
  <c r="M808" i="2"/>
  <c r="P808" i="2" s="1"/>
  <c r="L808" i="2"/>
  <c r="O808" i="2" s="1"/>
  <c r="M807" i="2"/>
  <c r="L807" i="2"/>
  <c r="O807" i="2" s="1"/>
  <c r="P806" i="2"/>
  <c r="N806" i="2"/>
  <c r="M806" i="2"/>
  <c r="L806" i="2"/>
  <c r="K804" i="2"/>
  <c r="J804" i="2"/>
  <c r="K802" i="2"/>
  <c r="J801" i="2"/>
  <c r="J800" i="2"/>
  <c r="J785" i="2" s="1"/>
  <c r="I800" i="2"/>
  <c r="P798" i="2"/>
  <c r="O798" i="2"/>
  <c r="P797" i="2"/>
  <c r="O797" i="2"/>
  <c r="O796" i="2"/>
  <c r="N796" i="2"/>
  <c r="M796" i="2"/>
  <c r="P796" i="2" s="1"/>
  <c r="L796" i="2"/>
  <c r="P791" i="2"/>
  <c r="N791" i="2"/>
  <c r="N788" i="2" s="1"/>
  <c r="N786" i="2" s="1"/>
  <c r="L791" i="2"/>
  <c r="L789" i="2" s="1"/>
  <c r="O789" i="2" s="1"/>
  <c r="P790" i="2"/>
  <c r="O790" i="2"/>
  <c r="N789" i="2"/>
  <c r="M789" i="2"/>
  <c r="P789" i="2" s="1"/>
  <c r="M788" i="2"/>
  <c r="P787" i="2"/>
  <c r="N787" i="2"/>
  <c r="M787" i="2"/>
  <c r="L787" i="2"/>
  <c r="P782" i="2"/>
  <c r="O782" i="2"/>
  <c r="P781" i="2"/>
  <c r="O781" i="2"/>
  <c r="P780" i="2"/>
  <c r="N780" i="2"/>
  <c r="M780" i="2"/>
  <c r="L780" i="2"/>
  <c r="O780" i="2" s="1"/>
  <c r="P775" i="2"/>
  <c r="O775" i="2"/>
  <c r="N775" i="2"/>
  <c r="P774" i="2"/>
  <c r="O774" i="2"/>
  <c r="O773" i="2"/>
  <c r="N773" i="2"/>
  <c r="M773" i="2"/>
  <c r="P773" i="2" s="1"/>
  <c r="L773" i="2"/>
  <c r="N772" i="2"/>
  <c r="N770" i="2" s="1"/>
  <c r="M772" i="2"/>
  <c r="P772" i="2" s="1"/>
  <c r="L772" i="2"/>
  <c r="O772" i="2" s="1"/>
  <c r="N771" i="2"/>
  <c r="M771" i="2"/>
  <c r="L771" i="2"/>
  <c r="O771" i="2" s="1"/>
  <c r="L770" i="2"/>
  <c r="O770" i="2" s="1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P758" i="2"/>
  <c r="O758" i="2"/>
  <c r="O757" i="2"/>
  <c r="N757" i="2"/>
  <c r="M757" i="2"/>
  <c r="P757" i="2" s="1"/>
  <c r="L757" i="2"/>
  <c r="N756" i="2"/>
  <c r="N754" i="2" s="1"/>
  <c r="M756" i="2"/>
  <c r="P756" i="2" s="1"/>
  <c r="L756" i="2"/>
  <c r="O756" i="2" s="1"/>
  <c r="N755" i="2"/>
  <c r="M755" i="2"/>
  <c r="L755" i="2"/>
  <c r="O755" i="2" s="1"/>
  <c r="L754" i="2"/>
  <c r="O754" i="2" s="1"/>
  <c r="K753" i="2"/>
  <c r="J753" i="2"/>
  <c r="P749" i="2"/>
  <c r="O749" i="2"/>
  <c r="P748" i="2"/>
  <c r="O748" i="2"/>
  <c r="P747" i="2"/>
  <c r="N747" i="2"/>
  <c r="M747" i="2"/>
  <c r="L747" i="2"/>
  <c r="O747" i="2" s="1"/>
  <c r="P742" i="2"/>
  <c r="O742" i="2"/>
  <c r="N742" i="2"/>
  <c r="P741" i="2"/>
  <c r="O741" i="2"/>
  <c r="O740" i="2"/>
  <c r="N740" i="2"/>
  <c r="M740" i="2"/>
  <c r="P740" i="2" s="1"/>
  <c r="L740" i="2"/>
  <c r="N739" i="2"/>
  <c r="N737" i="2" s="1"/>
  <c r="M739" i="2"/>
  <c r="P739" i="2" s="1"/>
  <c r="L739" i="2"/>
  <c r="O739" i="2" s="1"/>
  <c r="N738" i="2"/>
  <c r="M738" i="2"/>
  <c r="L738" i="2"/>
  <c r="O738" i="2" s="1"/>
  <c r="L737" i="2"/>
  <c r="O737" i="2" s="1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N695" i="2"/>
  <c r="M695" i="2"/>
  <c r="L695" i="2"/>
  <c r="O695" i="2" s="1"/>
  <c r="P690" i="2"/>
  <c r="N690" i="2"/>
  <c r="L690" i="2"/>
  <c r="O690" i="2" s="1"/>
  <c r="N688" i="2"/>
  <c r="M688" i="2"/>
  <c r="P688" i="2" s="1"/>
  <c r="N687" i="2"/>
  <c r="M687" i="2"/>
  <c r="P686" i="2"/>
  <c r="N686" i="2"/>
  <c r="M686" i="2"/>
  <c r="L686" i="2"/>
  <c r="N685" i="2"/>
  <c r="J679" i="2"/>
  <c r="J678" i="2" s="1"/>
  <c r="I678" i="2"/>
  <c r="K678" i="2" s="1"/>
  <c r="J675" i="2"/>
  <c r="I671" i="2"/>
  <c r="K671" i="2" s="1"/>
  <c r="I670" i="2"/>
  <c r="K670" i="2" s="1"/>
  <c r="J669" i="2"/>
  <c r="I669" i="2"/>
  <c r="K672" i="2" s="1"/>
  <c r="P667" i="2"/>
  <c r="O667" i="2"/>
  <c r="P666" i="2"/>
  <c r="O666" i="2"/>
  <c r="N665" i="2"/>
  <c r="M665" i="2"/>
  <c r="P665" i="2" s="1"/>
  <c r="L665" i="2"/>
  <c r="O665" i="2" s="1"/>
  <c r="N664" i="2"/>
  <c r="N660" i="2" s="1"/>
  <c r="P660" i="2"/>
  <c r="L660" i="2"/>
  <c r="L658" i="2" s="1"/>
  <c r="P659" i="2"/>
  <c r="O659" i="2"/>
  <c r="M658" i="2"/>
  <c r="P658" i="2" s="1"/>
  <c r="P657" i="2"/>
  <c r="M657" i="2"/>
  <c r="P656" i="2"/>
  <c r="O656" i="2"/>
  <c r="N656" i="2"/>
  <c r="M656" i="2"/>
  <c r="L656" i="2"/>
  <c r="M655" i="2"/>
  <c r="P655" i="2" s="1"/>
  <c r="J654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N639" i="2"/>
  <c r="M639" i="2"/>
  <c r="P639" i="2" s="1"/>
  <c r="N638" i="2"/>
  <c r="P634" i="2"/>
  <c r="N634" i="2"/>
  <c r="L634" i="2"/>
  <c r="L632" i="2" s="1"/>
  <c r="O632" i="2" s="1"/>
  <c r="P633" i="2"/>
  <c r="O633" i="2"/>
  <c r="N632" i="2"/>
  <c r="M632" i="2"/>
  <c r="P632" i="2" s="1"/>
  <c r="N631" i="2"/>
  <c r="M631" i="2"/>
  <c r="P631" i="2" s="1"/>
  <c r="N630" i="2"/>
  <c r="N629" i="2" s="1"/>
  <c r="M630" i="2"/>
  <c r="L630" i="2"/>
  <c r="O630" i="2" s="1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K594" i="2" s="1"/>
  <c r="J593" i="2"/>
  <c r="J592" i="2" s="1"/>
  <c r="I593" i="2"/>
  <c r="I592" i="2" s="1"/>
  <c r="K592" i="2" s="1"/>
  <c r="J583" i="2"/>
  <c r="J582" i="2"/>
  <c r="J576" i="2" s="1"/>
  <c r="J559" i="2" s="1"/>
  <c r="J577" i="2"/>
  <c r="I577" i="2"/>
  <c r="K577" i="2" s="1"/>
  <c r="I576" i="2"/>
  <c r="J569" i="2"/>
  <c r="I569" i="2"/>
  <c r="K569" i="2" s="1"/>
  <c r="J568" i="2"/>
  <c r="I568" i="2"/>
  <c r="K568" i="2" s="1"/>
  <c r="J561" i="2"/>
  <c r="I561" i="2"/>
  <c r="K561" i="2" s="1"/>
  <c r="J560" i="2"/>
  <c r="I560" i="2"/>
  <c r="K560" i="2" s="1"/>
  <c r="P557" i="2"/>
  <c r="L557" i="2"/>
  <c r="P556" i="2"/>
  <c r="O556" i="2"/>
  <c r="N555" i="2"/>
  <c r="M555" i="2"/>
  <c r="N553" i="2"/>
  <c r="P549" i="2"/>
  <c r="N549" i="2"/>
  <c r="N546" i="2" s="1"/>
  <c r="N544" i="2" s="1"/>
  <c r="L549" i="2"/>
  <c r="P548" i="2"/>
  <c r="O548" i="2"/>
  <c r="N547" i="2"/>
  <c r="M547" i="2"/>
  <c r="P547" i="2" s="1"/>
  <c r="M546" i="2"/>
  <c r="P546" i="2" s="1"/>
  <c r="N545" i="2"/>
  <c r="L545" i="2"/>
  <c r="O545" i="2" s="1"/>
  <c r="J543" i="2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O535" i="2" s="1"/>
  <c r="P534" i="2"/>
  <c r="O534" i="2"/>
  <c r="N533" i="2"/>
  <c r="M533" i="2"/>
  <c r="P533" i="2" s="1"/>
  <c r="P528" i="2"/>
  <c r="N528" i="2"/>
  <c r="L528" i="2"/>
  <c r="L526" i="2" s="1"/>
  <c r="O526" i="2" s="1"/>
  <c r="P527" i="2"/>
  <c r="O527" i="2"/>
  <c r="P526" i="2"/>
  <c r="N526" i="2"/>
  <c r="M526" i="2"/>
  <c r="P525" i="2"/>
  <c r="N525" i="2"/>
  <c r="M525" i="2"/>
  <c r="P524" i="2"/>
  <c r="O524" i="2"/>
  <c r="N524" i="2"/>
  <c r="M524" i="2"/>
  <c r="L524" i="2"/>
  <c r="N523" i="2"/>
  <c r="M523" i="2"/>
  <c r="P523" i="2" s="1"/>
  <c r="K517" i="2"/>
  <c r="J517" i="2"/>
  <c r="J501" i="2" s="1"/>
  <c r="K516" i="2"/>
  <c r="P514" i="2"/>
  <c r="O514" i="2"/>
  <c r="P513" i="2"/>
  <c r="O513" i="2"/>
  <c r="P512" i="2"/>
  <c r="N512" i="2"/>
  <c r="M512" i="2"/>
  <c r="L512" i="2"/>
  <c r="O512" i="2" s="1"/>
  <c r="P507" i="2"/>
  <c r="O507" i="2"/>
  <c r="N507" i="2"/>
  <c r="P506" i="2"/>
  <c r="O506" i="2"/>
  <c r="O505" i="2"/>
  <c r="N505" i="2"/>
  <c r="M505" i="2"/>
  <c r="P505" i="2" s="1"/>
  <c r="L505" i="2"/>
  <c r="N504" i="2"/>
  <c r="N502" i="2" s="1"/>
  <c r="M504" i="2"/>
  <c r="P504" i="2" s="1"/>
  <c r="L504" i="2"/>
  <c r="O504" i="2" s="1"/>
  <c r="N503" i="2"/>
  <c r="M503" i="2"/>
  <c r="L503" i="2"/>
  <c r="O503" i="2" s="1"/>
  <c r="L502" i="2"/>
  <c r="O502" i="2" s="1"/>
  <c r="K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O479" i="2" s="1"/>
  <c r="P478" i="2"/>
  <c r="O478" i="2"/>
  <c r="P477" i="2"/>
  <c r="N477" i="2"/>
  <c r="M477" i="2"/>
  <c r="N476" i="2"/>
  <c r="P472" i="2"/>
  <c r="N472" i="2"/>
  <c r="L472" i="2"/>
  <c r="O472" i="2" s="1"/>
  <c r="P471" i="2"/>
  <c r="O471" i="2"/>
  <c r="P470" i="2"/>
  <c r="N470" i="2"/>
  <c r="M470" i="2"/>
  <c r="N469" i="2"/>
  <c r="M469" i="2"/>
  <c r="P469" i="2" s="1"/>
  <c r="N468" i="2"/>
  <c r="N467" i="2" s="1"/>
  <c r="M468" i="2"/>
  <c r="P468" i="2" s="1"/>
  <c r="L468" i="2"/>
  <c r="O468" i="2" s="1"/>
  <c r="M467" i="2"/>
  <c r="P467" i="2" s="1"/>
  <c r="J466" i="2"/>
  <c r="I466" i="2"/>
  <c r="K466" i="2" s="1"/>
  <c r="J465" i="2"/>
  <c r="I465" i="2"/>
  <c r="I464" i="2"/>
  <c r="I463" i="2"/>
  <c r="I462" i="2"/>
  <c r="I443" i="2" s="1"/>
  <c r="K443" i="2" s="1"/>
  <c r="I460" i="2"/>
  <c r="K460" i="2" s="1"/>
  <c r="K458" i="2"/>
  <c r="P456" i="2"/>
  <c r="L456" i="2"/>
  <c r="O456" i="2" s="1"/>
  <c r="P455" i="2"/>
  <c r="O455" i="2"/>
  <c r="N454" i="2"/>
  <c r="M454" i="2"/>
  <c r="P454" i="2" s="1"/>
  <c r="N453" i="2"/>
  <c r="P449" i="2"/>
  <c r="N449" i="2"/>
  <c r="N446" i="2" s="1"/>
  <c r="N444" i="2" s="1"/>
  <c r="L449" i="2"/>
  <c r="P448" i="2"/>
  <c r="O448" i="2"/>
  <c r="N447" i="2"/>
  <c r="M447" i="2"/>
  <c r="P447" i="2" s="1"/>
  <c r="M446" i="2"/>
  <c r="P446" i="2" s="1"/>
  <c r="P445" i="2"/>
  <c r="N445" i="2"/>
  <c r="M445" i="2"/>
  <c r="L445" i="2"/>
  <c r="O445" i="2" s="1"/>
  <c r="J443" i="2"/>
  <c r="J442" i="2"/>
  <c r="I441" i="2"/>
  <c r="K441" i="2" s="1"/>
  <c r="I440" i="2"/>
  <c r="K440" i="2" s="1"/>
  <c r="I439" i="2"/>
  <c r="K439" i="2" s="1"/>
  <c r="I438" i="2"/>
  <c r="K438" i="2" s="1"/>
  <c r="I437" i="2"/>
  <c r="K437" i="2" s="1"/>
  <c r="I435" i="2"/>
  <c r="K435" i="2" s="1"/>
  <c r="J434" i="2"/>
  <c r="P431" i="2"/>
  <c r="L431" i="2"/>
  <c r="P430" i="2"/>
  <c r="O430" i="2"/>
  <c r="N429" i="2"/>
  <c r="M429" i="2"/>
  <c r="P429" i="2" s="1"/>
  <c r="P424" i="2"/>
  <c r="N424" i="2"/>
  <c r="N421" i="2" s="1"/>
  <c r="N419" i="2" s="1"/>
  <c r="L424" i="2"/>
  <c r="O424" i="2" s="1"/>
  <c r="P423" i="2"/>
  <c r="O423" i="2"/>
  <c r="N422" i="2"/>
  <c r="M422" i="2"/>
  <c r="P422" i="2" s="1"/>
  <c r="M421" i="2"/>
  <c r="P421" i="2" s="1"/>
  <c r="P420" i="2"/>
  <c r="N420" i="2"/>
  <c r="M420" i="2"/>
  <c r="L420" i="2"/>
  <c r="O420" i="2" s="1"/>
  <c r="J418" i="2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N405" i="2" s="1"/>
  <c r="M407" i="2"/>
  <c r="P407" i="2" s="1"/>
  <c r="L407" i="2"/>
  <c r="L405" i="2" s="1"/>
  <c r="O405" i="2" s="1"/>
  <c r="P406" i="2"/>
  <c r="O406" i="2"/>
  <c r="N403" i="2"/>
  <c r="M403" i="2"/>
  <c r="P403" i="2" s="1"/>
  <c r="L403" i="2"/>
  <c r="K401" i="2"/>
  <c r="J401" i="2"/>
  <c r="I401" i="2"/>
  <c r="K400" i="2"/>
  <c r="K399" i="2"/>
  <c r="N397" i="2"/>
  <c r="N395" i="2" s="1"/>
  <c r="M397" i="2"/>
  <c r="P397" i="2" s="1"/>
  <c r="L397" i="2"/>
  <c r="O397" i="2" s="1"/>
  <c r="P396" i="2"/>
  <c r="O396" i="2"/>
  <c r="N394" i="2"/>
  <c r="N392" i="2" s="1"/>
  <c r="M394" i="2"/>
  <c r="P394" i="2" s="1"/>
  <c r="L394" i="2"/>
  <c r="P393" i="2"/>
  <c r="O393" i="2"/>
  <c r="P390" i="2"/>
  <c r="N390" i="2"/>
  <c r="M390" i="2"/>
  <c r="L390" i="2"/>
  <c r="O390" i="2" s="1"/>
  <c r="J388" i="2"/>
  <c r="I388" i="2"/>
  <c r="K388" i="2" s="1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J365" i="2" s="1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P352" i="2"/>
  <c r="O352" i="2"/>
  <c r="N350" i="2"/>
  <c r="N348" i="2" s="1"/>
  <c r="M350" i="2"/>
  <c r="L350" i="2"/>
  <c r="L348" i="2" s="1"/>
  <c r="P349" i="2"/>
  <c r="O349" i="2"/>
  <c r="P346" i="2"/>
  <c r="N346" i="2"/>
  <c r="M346" i="2"/>
  <c r="L346" i="2"/>
  <c r="O346" i="2" s="1"/>
  <c r="J343" i="2"/>
  <c r="J342" i="2"/>
  <c r="J341" i="2"/>
  <c r="J340" i="2"/>
  <c r="I340" i="2"/>
  <c r="J338" i="2"/>
  <c r="I338" i="2"/>
  <c r="N336" i="2"/>
  <c r="M336" i="2"/>
  <c r="P336" i="2" s="1"/>
  <c r="L336" i="2"/>
  <c r="O336" i="2" s="1"/>
  <c r="P335" i="2"/>
  <c r="O335" i="2"/>
  <c r="N333" i="2"/>
  <c r="N331" i="2" s="1"/>
  <c r="M333" i="2"/>
  <c r="L333" i="2"/>
  <c r="L331" i="2" s="1"/>
  <c r="P332" i="2"/>
  <c r="O332" i="2"/>
  <c r="P329" i="2"/>
  <c r="N329" i="2"/>
  <c r="M329" i="2"/>
  <c r="L329" i="2"/>
  <c r="O329" i="2" s="1"/>
  <c r="I327" i="2"/>
  <c r="I325" i="2"/>
  <c r="I314" i="2" s="1"/>
  <c r="K314" i="2" s="1"/>
  <c r="N323" i="2"/>
  <c r="N321" i="2" s="1"/>
  <c r="M323" i="2"/>
  <c r="L323" i="2"/>
  <c r="L321" i="2" s="1"/>
  <c r="O321" i="2" s="1"/>
  <c r="P322" i="2"/>
  <c r="O322" i="2"/>
  <c r="N320" i="2"/>
  <c r="M320" i="2"/>
  <c r="L320" i="2"/>
  <c r="L318" i="2" s="1"/>
  <c r="P319" i="2"/>
  <c r="O319" i="2"/>
  <c r="N316" i="2"/>
  <c r="M316" i="2"/>
  <c r="P316" i="2" s="1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L304" i="2" s="1"/>
  <c r="O304" i="2" s="1"/>
  <c r="P305" i="2"/>
  <c r="O305" i="2"/>
  <c r="N303" i="2"/>
  <c r="M303" i="2"/>
  <c r="P303" i="2" s="1"/>
  <c r="L303" i="2"/>
  <c r="L301" i="2" s="1"/>
  <c r="O301" i="2" s="1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I287" i="2"/>
  <c r="K287" i="2" s="1"/>
  <c r="N285" i="2"/>
  <c r="M285" i="2"/>
  <c r="P285" i="2" s="1"/>
  <c r="L285" i="2"/>
  <c r="O285" i="2" s="1"/>
  <c r="P284" i="2"/>
  <c r="O284" i="2"/>
  <c r="N282" i="2"/>
  <c r="N280" i="2" s="1"/>
  <c r="M282" i="2"/>
  <c r="L282" i="2"/>
  <c r="P281" i="2"/>
  <c r="O281" i="2"/>
  <c r="O278" i="2"/>
  <c r="N278" i="2"/>
  <c r="M278" i="2"/>
  <c r="L278" i="2"/>
  <c r="J276" i="2"/>
  <c r="I271" i="2"/>
  <c r="K271" i="2" s="1"/>
  <c r="N269" i="2"/>
  <c r="N267" i="2" s="1"/>
  <c r="M269" i="2"/>
  <c r="M267" i="2" s="1"/>
  <c r="P267" i="2" s="1"/>
  <c r="L269" i="2"/>
  <c r="O269" i="2" s="1"/>
  <c r="P268" i="2"/>
  <c r="O268" i="2"/>
  <c r="N266" i="2"/>
  <c r="M266" i="2"/>
  <c r="M264" i="2" s="1"/>
  <c r="L266" i="2"/>
  <c r="P265" i="2"/>
  <c r="O265" i="2"/>
  <c r="P262" i="2"/>
  <c r="N262" i="2"/>
  <c r="M262" i="2"/>
  <c r="L262" i="2"/>
  <c r="J260" i="2"/>
  <c r="K258" i="2"/>
  <c r="K257" i="2"/>
  <c r="I255" i="2"/>
  <c r="K255" i="2" s="1"/>
  <c r="L253" i="2"/>
  <c r="L252" i="2"/>
  <c r="L251" i="2"/>
  <c r="L250" i="2"/>
  <c r="P249" i="2"/>
  <c r="N249" i="2"/>
  <c r="J248" i="2"/>
  <c r="J226" i="2" s="1"/>
  <c r="J180" i="2" s="1"/>
  <c r="K247" i="2"/>
  <c r="K246" i="2"/>
  <c r="I244" i="2"/>
  <c r="L242" i="2"/>
  <c r="L241" i="2"/>
  <c r="L240" i="2"/>
  <c r="L239" i="2"/>
  <c r="P238" i="2"/>
  <c r="N238" i="2"/>
  <c r="N227" i="2" s="1"/>
  <c r="J237" i="2"/>
  <c r="K236" i="2"/>
  <c r="J236" i="2"/>
  <c r="I236" i="2"/>
  <c r="K235" i="2"/>
  <c r="J235" i="2"/>
  <c r="I235" i="2"/>
  <c r="J233" i="2"/>
  <c r="N231" i="2"/>
  <c r="N230" i="2"/>
  <c r="N229" i="2"/>
  <c r="N228" i="2"/>
  <c r="I225" i="2"/>
  <c r="K225" i="2" s="1"/>
  <c r="I224" i="2"/>
  <c r="I223" i="2"/>
  <c r="K223" i="2" s="1"/>
  <c r="L220" i="2"/>
  <c r="L219" i="2"/>
  <c r="L218" i="2"/>
  <c r="P217" i="2"/>
  <c r="N217" i="2"/>
  <c r="J216" i="2"/>
  <c r="I215" i="2"/>
  <c r="K215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M189" i="2"/>
  <c r="L189" i="2"/>
  <c r="O189" i="2" s="1"/>
  <c r="P188" i="2"/>
  <c r="O188" i="2"/>
  <c r="N186" i="2"/>
  <c r="N184" i="2" s="1"/>
  <c r="M186" i="2"/>
  <c r="L186" i="2"/>
  <c r="P185" i="2"/>
  <c r="O185" i="2"/>
  <c r="N182" i="2"/>
  <c r="M182" i="2"/>
  <c r="L182" i="2"/>
  <c r="O182" i="2" s="1"/>
  <c r="J177" i="2"/>
  <c r="J164" i="2" s="1"/>
  <c r="I176" i="2"/>
  <c r="K176" i="2" s="1"/>
  <c r="J174" i="2"/>
  <c r="N173" i="2"/>
  <c r="N171" i="2" s="1"/>
  <c r="M173" i="2"/>
  <c r="L173" i="2"/>
  <c r="L171" i="2" s="1"/>
  <c r="O171" i="2" s="1"/>
  <c r="P172" i="2"/>
  <c r="O172" i="2"/>
  <c r="N170" i="2"/>
  <c r="N168" i="2" s="1"/>
  <c r="M170" i="2"/>
  <c r="M168" i="2" s="1"/>
  <c r="L170" i="2"/>
  <c r="L168" i="2" s="1"/>
  <c r="P169" i="2"/>
  <c r="O169" i="2"/>
  <c r="P166" i="2"/>
  <c r="O166" i="2"/>
  <c r="N166" i="2"/>
  <c r="M166" i="2"/>
  <c r="L166" i="2"/>
  <c r="I159" i="2"/>
  <c r="K159" i="2" s="1"/>
  <c r="N157" i="2"/>
  <c r="M157" i="2"/>
  <c r="P157" i="2" s="1"/>
  <c r="L157" i="2"/>
  <c r="L155" i="2" s="1"/>
  <c r="O155" i="2" s="1"/>
  <c r="P156" i="2"/>
  <c r="O156" i="2"/>
  <c r="N154" i="2"/>
  <c r="N152" i="2" s="1"/>
  <c r="M154" i="2"/>
  <c r="L154" i="2"/>
  <c r="L152" i="2" s="1"/>
  <c r="P153" i="2"/>
  <c r="O153" i="2"/>
  <c r="P150" i="2"/>
  <c r="N150" i="2"/>
  <c r="M150" i="2"/>
  <c r="L150" i="2"/>
  <c r="O150" i="2" s="1"/>
  <c r="J148" i="2"/>
  <c r="I146" i="2"/>
  <c r="I145" i="2"/>
  <c r="K145" i="2" s="1"/>
  <c r="I144" i="2"/>
  <c r="N140" i="2"/>
  <c r="N138" i="2" s="1"/>
  <c r="M140" i="2"/>
  <c r="P140" i="2" s="1"/>
  <c r="L140" i="2"/>
  <c r="L138" i="2" s="1"/>
  <c r="O138" i="2" s="1"/>
  <c r="P139" i="2"/>
  <c r="O139" i="2"/>
  <c r="N137" i="2"/>
  <c r="N135" i="2" s="1"/>
  <c r="M137" i="2"/>
  <c r="P137" i="2" s="1"/>
  <c r="L137" i="2"/>
  <c r="L135" i="2" s="1"/>
  <c r="O135" i="2" s="1"/>
  <c r="P136" i="2"/>
  <c r="O136" i="2"/>
  <c r="O133" i="2"/>
  <c r="N133" i="2"/>
  <c r="M133" i="2"/>
  <c r="P133" i="2" s="1"/>
  <c r="L133" i="2"/>
  <c r="J130" i="2"/>
  <c r="N127" i="2"/>
  <c r="N125" i="2" s="1"/>
  <c r="M127" i="2"/>
  <c r="L127" i="2"/>
  <c r="L125" i="2" s="1"/>
  <c r="O125" i="2" s="1"/>
  <c r="P126" i="2"/>
  <c r="O126" i="2"/>
  <c r="N124" i="2"/>
  <c r="M124" i="2"/>
  <c r="P124" i="2" s="1"/>
  <c r="L124" i="2"/>
  <c r="L122" i="2" s="1"/>
  <c r="O122" i="2" s="1"/>
  <c r="P123" i="2"/>
  <c r="O123" i="2"/>
  <c r="P120" i="2"/>
  <c r="N120" i="2"/>
  <c r="M120" i="2"/>
  <c r="L120" i="2"/>
  <c r="O120" i="2" s="1"/>
  <c r="I116" i="2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K100" i="2" s="1"/>
  <c r="J99" i="2"/>
  <c r="J87" i="2" s="1"/>
  <c r="I99" i="2"/>
  <c r="J98" i="2"/>
  <c r="I98" i="2"/>
  <c r="N96" i="2"/>
  <c r="N94" i="2" s="1"/>
  <c r="M96" i="2"/>
  <c r="M94" i="2" s="1"/>
  <c r="P94" i="2" s="1"/>
  <c r="L96" i="2"/>
  <c r="O96" i="2" s="1"/>
  <c r="P95" i="2"/>
  <c r="O95" i="2"/>
  <c r="N93" i="2"/>
  <c r="M93" i="2"/>
  <c r="M91" i="2" s="1"/>
  <c r="L93" i="2"/>
  <c r="L91" i="2" s="1"/>
  <c r="P92" i="2"/>
  <c r="O92" i="2"/>
  <c r="P89" i="2"/>
  <c r="O89" i="2"/>
  <c r="N89" i="2"/>
  <c r="M89" i="2"/>
  <c r="L89" i="2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P74" i="2" s="1"/>
  <c r="L74" i="2"/>
  <c r="L72" i="2" s="1"/>
  <c r="O72" i="2" s="1"/>
  <c r="P73" i="2"/>
  <c r="O73" i="2"/>
  <c r="N71" i="2"/>
  <c r="N69" i="2" s="1"/>
  <c r="M71" i="2"/>
  <c r="P71" i="2" s="1"/>
  <c r="L71" i="2"/>
  <c r="L69" i="2" s="1"/>
  <c r="O69" i="2" s="1"/>
  <c r="P70" i="2"/>
  <c r="O70" i="2"/>
  <c r="O67" i="2"/>
  <c r="N67" i="2"/>
  <c r="M67" i="2"/>
  <c r="P67" i="2" s="1"/>
  <c r="L67" i="2"/>
  <c r="J64" i="2"/>
  <c r="N61" i="2"/>
  <c r="N59" i="2" s="1"/>
  <c r="M61" i="2"/>
  <c r="L61" i="2"/>
  <c r="L59" i="2" s="1"/>
  <c r="O59" i="2" s="1"/>
  <c r="P60" i="2"/>
  <c r="O60" i="2"/>
  <c r="N58" i="2"/>
  <c r="M58" i="2"/>
  <c r="M56" i="2" s="1"/>
  <c r="L58" i="2"/>
  <c r="L56" i="2" s="1"/>
  <c r="P57" i="2"/>
  <c r="O57" i="2"/>
  <c r="P54" i="2"/>
  <c r="N54" i="2"/>
  <c r="M54" i="2"/>
  <c r="L54" i="2"/>
  <c r="O54" i="2" s="1"/>
  <c r="N49" i="2"/>
  <c r="N47" i="2" s="1"/>
  <c r="M49" i="2"/>
  <c r="P49" i="2" s="1"/>
  <c r="L49" i="2"/>
  <c r="P48" i="2"/>
  <c r="O48" i="2"/>
  <c r="N46" i="2"/>
  <c r="N44" i="2" s="1"/>
  <c r="M46" i="2"/>
  <c r="M44" i="2" s="1"/>
  <c r="L46" i="2"/>
  <c r="P45" i="2"/>
  <c r="O45" i="2"/>
  <c r="O42" i="2"/>
  <c r="N42" i="2"/>
  <c r="M42" i="2"/>
  <c r="P42" i="2" s="1"/>
  <c r="L42" i="2"/>
  <c r="P36" i="2"/>
  <c r="N36" i="2"/>
  <c r="M36" i="2"/>
  <c r="P35" i="2"/>
  <c r="O35" i="2"/>
  <c r="N35" i="2"/>
  <c r="M35" i="2"/>
  <c r="M34" i="2" s="1"/>
  <c r="P34" i="2" s="1"/>
  <c r="L35" i="2"/>
  <c r="N34" i="2"/>
  <c r="N33" i="2"/>
  <c r="N30" i="2" s="1"/>
  <c r="M33" i="2"/>
  <c r="P33" i="2" s="1"/>
  <c r="N32" i="2"/>
  <c r="N29" i="2" s="1"/>
  <c r="N28" i="2" s="1"/>
  <c r="M32" i="2"/>
  <c r="P32" i="2" s="1"/>
  <c r="L32" i="2"/>
  <c r="O32" i="2" s="1"/>
  <c r="N25" i="2"/>
  <c r="N15" i="2" s="1"/>
  <c r="M25" i="2"/>
  <c r="P25" i="2" s="1"/>
  <c r="L25" i="2"/>
  <c r="O25" i="2" s="1"/>
  <c r="P22" i="2"/>
  <c r="O22" i="2"/>
  <c r="N22" i="2"/>
  <c r="M22" i="2"/>
  <c r="L22" i="2"/>
  <c r="N19" i="2"/>
  <c r="M19" i="2"/>
  <c r="P19" i="2" s="1"/>
  <c r="L19" i="2"/>
  <c r="O19" i="2" s="1"/>
  <c r="N12" i="2"/>
  <c r="M12" i="2"/>
  <c r="P12" i="2" s="1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O808" i="1"/>
  <c r="N808" i="1"/>
  <c r="M808" i="1"/>
  <c r="P808" i="1" s="1"/>
  <c r="L808" i="1"/>
  <c r="P807" i="1"/>
  <c r="N807" i="1"/>
  <c r="N805" i="1" s="1"/>
  <c r="M807" i="1"/>
  <c r="L807" i="1"/>
  <c r="O807" i="1" s="1"/>
  <c r="O806" i="1"/>
  <c r="N806" i="1"/>
  <c r="M806" i="1"/>
  <c r="L806" i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P791" i="1"/>
  <c r="L791" i="1"/>
  <c r="P790" i="1"/>
  <c r="O790" i="1"/>
  <c r="P789" i="1"/>
  <c r="M789" i="1"/>
  <c r="P788" i="1"/>
  <c r="M788" i="1"/>
  <c r="P787" i="1"/>
  <c r="O787" i="1"/>
  <c r="N787" i="1"/>
  <c r="M787" i="1"/>
  <c r="L787" i="1"/>
  <c r="M786" i="1"/>
  <c r="P786" i="1" s="1"/>
  <c r="P782" i="1"/>
  <c r="O782" i="1"/>
  <c r="P781" i="1"/>
  <c r="O781" i="1"/>
  <c r="O780" i="1"/>
  <c r="N780" i="1"/>
  <c r="M780" i="1"/>
  <c r="P780" i="1" s="1"/>
  <c r="L780" i="1"/>
  <c r="P775" i="1"/>
  <c r="O775" i="1"/>
  <c r="N775" i="1"/>
  <c r="P774" i="1"/>
  <c r="O774" i="1"/>
  <c r="M773" i="1"/>
  <c r="P773" i="1" s="1"/>
  <c r="L773" i="1"/>
  <c r="O773" i="1" s="1"/>
  <c r="P772" i="1"/>
  <c r="M772" i="1"/>
  <c r="L772" i="1"/>
  <c r="P771" i="1"/>
  <c r="O771" i="1"/>
  <c r="N771" i="1"/>
  <c r="M771" i="1"/>
  <c r="M770" i="1" s="1"/>
  <c r="L771" i="1"/>
  <c r="P770" i="1"/>
  <c r="K769" i="1"/>
  <c r="J769" i="1"/>
  <c r="P766" i="1"/>
  <c r="O766" i="1"/>
  <c r="P765" i="1"/>
  <c r="O765" i="1"/>
  <c r="O764" i="1"/>
  <c r="N764" i="1"/>
  <c r="M764" i="1"/>
  <c r="P764" i="1" s="1"/>
  <c r="L764" i="1"/>
  <c r="P759" i="1"/>
  <c r="O759" i="1"/>
  <c r="N759" i="1"/>
  <c r="P758" i="1"/>
  <c r="O758" i="1"/>
  <c r="M757" i="1"/>
  <c r="P757" i="1" s="1"/>
  <c r="L757" i="1"/>
  <c r="O757" i="1" s="1"/>
  <c r="P756" i="1"/>
  <c r="M756" i="1"/>
  <c r="L756" i="1"/>
  <c r="P755" i="1"/>
  <c r="O755" i="1"/>
  <c r="N755" i="1"/>
  <c r="M755" i="1"/>
  <c r="M754" i="1" s="1"/>
  <c r="L755" i="1"/>
  <c r="P754" i="1"/>
  <c r="K753" i="1"/>
  <c r="J753" i="1"/>
  <c r="P749" i="1"/>
  <c r="O749" i="1"/>
  <c r="P748" i="1"/>
  <c r="O748" i="1"/>
  <c r="O747" i="1"/>
  <c r="N747" i="1"/>
  <c r="M747" i="1"/>
  <c r="P747" i="1" s="1"/>
  <c r="L747" i="1"/>
  <c r="P742" i="1"/>
  <c r="O742" i="1"/>
  <c r="N742" i="1"/>
  <c r="P741" i="1"/>
  <c r="O741" i="1"/>
  <c r="M740" i="1"/>
  <c r="P740" i="1" s="1"/>
  <c r="L740" i="1"/>
  <c r="O740" i="1" s="1"/>
  <c r="P739" i="1"/>
  <c r="M739" i="1"/>
  <c r="L739" i="1"/>
  <c r="P738" i="1"/>
  <c r="O738" i="1"/>
  <c r="N738" i="1"/>
  <c r="M738" i="1"/>
  <c r="M737" i="1" s="1"/>
  <c r="P737" i="1" s="1"/>
  <c r="L738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O695" i="1"/>
  <c r="N695" i="1"/>
  <c r="M695" i="1"/>
  <c r="L695" i="1"/>
  <c r="N694" i="1"/>
  <c r="N693" i="1"/>
  <c r="N692" i="1"/>
  <c r="N691" i="1"/>
  <c r="P690" i="1"/>
  <c r="L690" i="1"/>
  <c r="L688" i="1" s="1"/>
  <c r="P688" i="1"/>
  <c r="M688" i="1"/>
  <c r="P687" i="1"/>
  <c r="M687" i="1"/>
  <c r="P686" i="1"/>
  <c r="O686" i="1"/>
  <c r="N686" i="1"/>
  <c r="M686" i="1"/>
  <c r="L686" i="1"/>
  <c r="M685" i="1"/>
  <c r="P685" i="1" s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P660" i="1"/>
  <c r="L660" i="1"/>
  <c r="L658" i="1" s="1"/>
  <c r="P659" i="1"/>
  <c r="O659" i="1"/>
  <c r="P658" i="1"/>
  <c r="M658" i="1"/>
  <c r="P657" i="1"/>
  <c r="M657" i="1"/>
  <c r="P656" i="1"/>
  <c r="O656" i="1"/>
  <c r="N656" i="1"/>
  <c r="M656" i="1"/>
  <c r="L656" i="1"/>
  <c r="M655" i="1"/>
  <c r="P655" i="1" s="1"/>
  <c r="K652" i="1"/>
  <c r="J652" i="1"/>
  <c r="J651" i="1"/>
  <c r="J628" i="1" s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L639" i="1" s="1"/>
  <c r="O639" i="1" s="1"/>
  <c r="P640" i="1"/>
  <c r="O640" i="1"/>
  <c r="P639" i="1"/>
  <c r="N639" i="1"/>
  <c r="M639" i="1"/>
  <c r="N638" i="1"/>
  <c r="N637" i="1"/>
  <c r="N636" i="1"/>
  <c r="N635" i="1"/>
  <c r="P634" i="1"/>
  <c r="L634" i="1"/>
  <c r="P633" i="1"/>
  <c r="O633" i="1"/>
  <c r="M632" i="1"/>
  <c r="P632" i="1" s="1"/>
  <c r="M631" i="1"/>
  <c r="P630" i="1"/>
  <c r="N630" i="1"/>
  <c r="M630" i="1"/>
  <c r="L630" i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O557" i="1" s="1"/>
  <c r="P556" i="1"/>
  <c r="O556" i="1"/>
  <c r="P555" i="1"/>
  <c r="N555" i="1"/>
  <c r="M555" i="1"/>
  <c r="N554" i="1"/>
  <c r="N553" i="1"/>
  <c r="N552" i="1"/>
  <c r="N551" i="1"/>
  <c r="N550" i="1"/>
  <c r="P549" i="1"/>
  <c r="L549" i="1"/>
  <c r="L547" i="1" s="1"/>
  <c r="P548" i="1"/>
  <c r="O548" i="1"/>
  <c r="P547" i="1"/>
  <c r="M547" i="1"/>
  <c r="M546" i="1"/>
  <c r="P546" i="1" s="1"/>
  <c r="N545" i="1"/>
  <c r="M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I537" i="1"/>
  <c r="I522" i="1" s="1"/>
  <c r="P535" i="1"/>
  <c r="L535" i="1"/>
  <c r="O535" i="1" s="1"/>
  <c r="P534" i="1"/>
  <c r="O534" i="1"/>
  <c r="N533" i="1"/>
  <c r="M533" i="1"/>
  <c r="P533" i="1" s="1"/>
  <c r="N532" i="1"/>
  <c r="N531" i="1"/>
  <c r="N530" i="1"/>
  <c r="N529" i="1"/>
  <c r="P528" i="1"/>
  <c r="L528" i="1"/>
  <c r="P527" i="1"/>
  <c r="O527" i="1"/>
  <c r="M526" i="1"/>
  <c r="P526" i="1" s="1"/>
  <c r="P525" i="1"/>
  <c r="M525" i="1"/>
  <c r="O524" i="1"/>
  <c r="N524" i="1"/>
  <c r="M524" i="1"/>
  <c r="P524" i="1" s="1"/>
  <c r="L524" i="1"/>
  <c r="M523" i="1"/>
  <c r="P523" i="1" s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O505" i="1"/>
  <c r="M505" i="1"/>
  <c r="P505" i="1" s="1"/>
  <c r="L505" i="1"/>
  <c r="P504" i="1"/>
  <c r="N504" i="1"/>
  <c r="N502" i="1" s="1"/>
  <c r="M504" i="1"/>
  <c r="L504" i="1"/>
  <c r="O504" i="1" s="1"/>
  <c r="N503" i="1"/>
  <c r="M503" i="1"/>
  <c r="L503" i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O479" i="1" s="1"/>
  <c r="P478" i="1"/>
  <c r="O478" i="1"/>
  <c r="P477" i="1"/>
  <c r="N477" i="1"/>
  <c r="M477" i="1"/>
  <c r="N476" i="1"/>
  <c r="N475" i="1"/>
  <c r="N474" i="1"/>
  <c r="N473" i="1"/>
  <c r="P472" i="1"/>
  <c r="L472" i="1"/>
  <c r="P471" i="1"/>
  <c r="O471" i="1"/>
  <c r="M470" i="1"/>
  <c r="P470" i="1" s="1"/>
  <c r="P469" i="1"/>
  <c r="M469" i="1"/>
  <c r="P468" i="1"/>
  <c r="O468" i="1"/>
  <c r="N468" i="1"/>
  <c r="M468" i="1"/>
  <c r="M467" i="1" s="1"/>
  <c r="L468" i="1"/>
  <c r="P467" i="1"/>
  <c r="I466" i="1"/>
  <c r="I465" i="1"/>
  <c r="J464" i="1"/>
  <c r="I464" i="1"/>
  <c r="J463" i="1"/>
  <c r="I463" i="1"/>
  <c r="J462" i="1"/>
  <c r="J443" i="1" s="1"/>
  <c r="I462" i="1"/>
  <c r="J460" i="1"/>
  <c r="I460" i="1"/>
  <c r="I442" i="1" s="1"/>
  <c r="K458" i="1"/>
  <c r="P456" i="1"/>
  <c r="L456" i="1"/>
  <c r="L454" i="1" s="1"/>
  <c r="O454" i="1" s="1"/>
  <c r="P455" i="1"/>
  <c r="O455" i="1"/>
  <c r="N454" i="1"/>
  <c r="M454" i="1"/>
  <c r="P454" i="1" s="1"/>
  <c r="N453" i="1"/>
  <c r="N452" i="1"/>
  <c r="N451" i="1"/>
  <c r="N450" i="1"/>
  <c r="P449" i="1"/>
  <c r="L449" i="1"/>
  <c r="L447" i="1" s="1"/>
  <c r="P448" i="1"/>
  <c r="O448" i="1"/>
  <c r="P447" i="1"/>
  <c r="M447" i="1"/>
  <c r="M446" i="1"/>
  <c r="P446" i="1" s="1"/>
  <c r="P445" i="1"/>
  <c r="N445" i="1"/>
  <c r="M445" i="1"/>
  <c r="L445" i="1"/>
  <c r="O445" i="1" s="1"/>
  <c r="M444" i="1"/>
  <c r="P444" i="1" s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P424" i="1"/>
  <c r="L424" i="1"/>
  <c r="P423" i="1"/>
  <c r="O423" i="1"/>
  <c r="M422" i="1"/>
  <c r="P422" i="1" s="1"/>
  <c r="P421" i="1"/>
  <c r="M421" i="1"/>
  <c r="P420" i="1"/>
  <c r="O420" i="1"/>
  <c r="N420" i="1"/>
  <c r="M420" i="1"/>
  <c r="M419" i="1" s="1"/>
  <c r="L420" i="1"/>
  <c r="P419" i="1"/>
  <c r="J413" i="1"/>
  <c r="I413" i="1"/>
  <c r="K413" i="1" s="1"/>
  <c r="J412" i="1"/>
  <c r="J401" i="1" s="1"/>
  <c r="I412" i="1"/>
  <c r="I401" i="1" s="1"/>
  <c r="K401" i="1" s="1"/>
  <c r="N410" i="1"/>
  <c r="N408" i="1" s="1"/>
  <c r="M410" i="1"/>
  <c r="P410" i="1" s="1"/>
  <c r="L410" i="1"/>
  <c r="P409" i="1"/>
  <c r="O409" i="1"/>
  <c r="N407" i="1"/>
  <c r="M407" i="1"/>
  <c r="P407" i="1" s="1"/>
  <c r="L407" i="1"/>
  <c r="P406" i="1"/>
  <c r="O406" i="1"/>
  <c r="O403" i="1"/>
  <c r="N403" i="1"/>
  <c r="M403" i="1"/>
  <c r="L403" i="1"/>
  <c r="J400" i="1"/>
  <c r="J388" i="1" s="1"/>
  <c r="I400" i="1"/>
  <c r="J399" i="1"/>
  <c r="I399" i="1"/>
  <c r="K399" i="1" s="1"/>
  <c r="N397" i="1"/>
  <c r="N395" i="1" s="1"/>
  <c r="M397" i="1"/>
  <c r="P397" i="1" s="1"/>
  <c r="L397" i="1"/>
  <c r="P396" i="1"/>
  <c r="O396" i="1"/>
  <c r="N394" i="1"/>
  <c r="M394" i="1"/>
  <c r="P394" i="1" s="1"/>
  <c r="L394" i="1"/>
  <c r="P393" i="1"/>
  <c r="O393" i="1"/>
  <c r="O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J365" i="1" s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J355" i="1" s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N348" i="1" s="1"/>
  <c r="M350" i="1"/>
  <c r="M348" i="1" s="1"/>
  <c r="L350" i="1"/>
  <c r="P349" i="1"/>
  <c r="O349" i="1"/>
  <c r="N346" i="1"/>
  <c r="M346" i="1"/>
  <c r="P346" i="1" s="1"/>
  <c r="L346" i="1"/>
  <c r="J343" i="1"/>
  <c r="J342" i="1"/>
  <c r="J341" i="1"/>
  <c r="J340" i="1"/>
  <c r="I340" i="1"/>
  <c r="J338" i="1"/>
  <c r="I338" i="1"/>
  <c r="N336" i="1"/>
  <c r="N334" i="1" s="1"/>
  <c r="M336" i="1"/>
  <c r="M334" i="1" s="1"/>
  <c r="L336" i="1"/>
  <c r="P335" i="1"/>
  <c r="O335" i="1"/>
  <c r="N333" i="1"/>
  <c r="N331" i="1" s="1"/>
  <c r="M333" i="1"/>
  <c r="L333" i="1"/>
  <c r="L331" i="1" s="1"/>
  <c r="P332" i="1"/>
  <c r="O332" i="1"/>
  <c r="O329" i="1"/>
  <c r="N329" i="1"/>
  <c r="M329" i="1"/>
  <c r="P329" i="1" s="1"/>
  <c r="L329" i="1"/>
  <c r="I327" i="1"/>
  <c r="J325" i="1"/>
  <c r="J314" i="1" s="1"/>
  <c r="I325" i="1"/>
  <c r="I314" i="1" s="1"/>
  <c r="N323" i="1"/>
  <c r="N321" i="1" s="1"/>
  <c r="M323" i="1"/>
  <c r="L323" i="1"/>
  <c r="O323" i="1" s="1"/>
  <c r="P322" i="1"/>
  <c r="O322" i="1"/>
  <c r="N320" i="1"/>
  <c r="N318" i="1" s="1"/>
  <c r="M320" i="1"/>
  <c r="L320" i="1"/>
  <c r="P319" i="1"/>
  <c r="O319" i="1"/>
  <c r="P316" i="1"/>
  <c r="O316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O306" i="1" s="1"/>
  <c r="P305" i="1"/>
  <c r="O305" i="1"/>
  <c r="N303" i="1"/>
  <c r="N301" i="1" s="1"/>
  <c r="M303" i="1"/>
  <c r="L303" i="1"/>
  <c r="L301" i="1" s="1"/>
  <c r="P302" i="1"/>
  <c r="O302" i="1"/>
  <c r="P299" i="1"/>
  <c r="N299" i="1"/>
  <c r="M299" i="1"/>
  <c r="L299" i="1"/>
  <c r="J294" i="1"/>
  <c r="I294" i="1"/>
  <c r="J293" i="1"/>
  <c r="I293" i="1"/>
  <c r="J291" i="1"/>
  <c r="I291" i="1"/>
  <c r="J290" i="1"/>
  <c r="I290" i="1"/>
  <c r="I288" i="1"/>
  <c r="I275" i="1" s="1"/>
  <c r="J287" i="1"/>
  <c r="J276" i="1" s="1"/>
  <c r="I287" i="1"/>
  <c r="N285" i="1"/>
  <c r="N283" i="1" s="1"/>
  <c r="M285" i="1"/>
  <c r="L285" i="1"/>
  <c r="O285" i="1" s="1"/>
  <c r="P284" i="1"/>
  <c r="O284" i="1"/>
  <c r="N282" i="1"/>
  <c r="N280" i="1" s="1"/>
  <c r="M282" i="1"/>
  <c r="L282" i="1"/>
  <c r="P281" i="1"/>
  <c r="O281" i="1"/>
  <c r="P278" i="1"/>
  <c r="N278" i="1"/>
  <c r="M278" i="1"/>
  <c r="L278" i="1"/>
  <c r="J271" i="1"/>
  <c r="J260" i="1" s="1"/>
  <c r="I271" i="1"/>
  <c r="I260" i="1" s="1"/>
  <c r="N269" i="1"/>
  <c r="N267" i="1" s="1"/>
  <c r="M269" i="1"/>
  <c r="L269" i="1"/>
  <c r="O269" i="1" s="1"/>
  <c r="P268" i="1"/>
  <c r="O268" i="1"/>
  <c r="N266" i="1"/>
  <c r="M266" i="1"/>
  <c r="L266" i="1"/>
  <c r="P265" i="1"/>
  <c r="O265" i="1"/>
  <c r="P262" i="1"/>
  <c r="N262" i="1"/>
  <c r="M262" i="1"/>
  <c r="L262" i="1"/>
  <c r="J258" i="1"/>
  <c r="I258" i="1"/>
  <c r="K258" i="1" s="1"/>
  <c r="J257" i="1"/>
  <c r="I257" i="1"/>
  <c r="K257" i="1" s="1"/>
  <c r="J255" i="1"/>
  <c r="J248" i="1" s="1"/>
  <c r="I255" i="1"/>
  <c r="K255" i="1" s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I204" i="1"/>
  <c r="I197" i="1" s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N184" i="1" s="1"/>
  <c r="M186" i="1"/>
  <c r="L186" i="1"/>
  <c r="L184" i="1" s="1"/>
  <c r="P185" i="1"/>
  <c r="O185" i="1"/>
  <c r="O182" i="1"/>
  <c r="N182" i="1"/>
  <c r="M182" i="1"/>
  <c r="L182" i="1"/>
  <c r="J177" i="1"/>
  <c r="J176" i="1"/>
  <c r="J174" i="1" s="1"/>
  <c r="J164" i="1" s="1"/>
  <c r="I176" i="1"/>
  <c r="N173" i="1"/>
  <c r="N171" i="1" s="1"/>
  <c r="M173" i="1"/>
  <c r="P173" i="1" s="1"/>
  <c r="L173" i="1"/>
  <c r="P172" i="1"/>
  <c r="O172" i="1"/>
  <c r="N170" i="1"/>
  <c r="N168" i="1" s="1"/>
  <c r="M170" i="1"/>
  <c r="L170" i="1"/>
  <c r="P169" i="1"/>
  <c r="O169" i="1"/>
  <c r="P166" i="1"/>
  <c r="N166" i="1"/>
  <c r="M166" i="1"/>
  <c r="L166" i="1"/>
  <c r="O166" i="1" s="1"/>
  <c r="J159" i="1"/>
  <c r="J148" i="1" s="1"/>
  <c r="I159" i="1"/>
  <c r="N157" i="1"/>
  <c r="N155" i="1" s="1"/>
  <c r="M157" i="1"/>
  <c r="P157" i="1" s="1"/>
  <c r="L157" i="1"/>
  <c r="P156" i="1"/>
  <c r="O156" i="1"/>
  <c r="N154" i="1"/>
  <c r="M154" i="1"/>
  <c r="L154" i="1"/>
  <c r="P153" i="1"/>
  <c r="O153" i="1"/>
  <c r="N150" i="1"/>
  <c r="M150" i="1"/>
  <c r="L150" i="1"/>
  <c r="O150" i="1" s="1"/>
  <c r="J146" i="1"/>
  <c r="J130" i="1" s="1"/>
  <c r="I146" i="1"/>
  <c r="J145" i="1"/>
  <c r="I145" i="1"/>
  <c r="I143" i="1" s="1"/>
  <c r="I131" i="1" s="1"/>
  <c r="J144" i="1"/>
  <c r="I144" i="1"/>
  <c r="J142" i="1"/>
  <c r="N140" i="1"/>
  <c r="N138" i="1" s="1"/>
  <c r="M140" i="1"/>
  <c r="L140" i="1"/>
  <c r="L138" i="1" s="1"/>
  <c r="P139" i="1"/>
  <c r="O139" i="1"/>
  <c r="N137" i="1"/>
  <c r="M137" i="1"/>
  <c r="L137" i="1"/>
  <c r="L135" i="1" s="1"/>
  <c r="P136" i="1"/>
  <c r="O136" i="1"/>
  <c r="N133" i="1"/>
  <c r="M133" i="1"/>
  <c r="P133" i="1" s="1"/>
  <c r="L133" i="1"/>
  <c r="O133" i="1" s="1"/>
  <c r="N127" i="1"/>
  <c r="N125" i="1" s="1"/>
  <c r="M127" i="1"/>
  <c r="L127" i="1"/>
  <c r="P126" i="1"/>
  <c r="O126" i="1"/>
  <c r="N124" i="1"/>
  <c r="N122" i="1" s="1"/>
  <c r="M124" i="1"/>
  <c r="L124" i="1"/>
  <c r="O124" i="1" s="1"/>
  <c r="P123" i="1"/>
  <c r="O123" i="1"/>
  <c r="P120" i="1"/>
  <c r="O120" i="1"/>
  <c r="N120" i="1"/>
  <c r="M120" i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P96" i="1" s="1"/>
  <c r="L96" i="1"/>
  <c r="O96" i="1" s="1"/>
  <c r="P95" i="1"/>
  <c r="O95" i="1"/>
  <c r="N93" i="1"/>
  <c r="N91" i="1" s="1"/>
  <c r="M93" i="1"/>
  <c r="L93" i="1"/>
  <c r="L91" i="1" s="1"/>
  <c r="P92" i="1"/>
  <c r="O92" i="1"/>
  <c r="O89" i="1"/>
  <c r="N89" i="1"/>
  <c r="M89" i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M72" i="1" s="1"/>
  <c r="P72" i="1" s="1"/>
  <c r="L74" i="1"/>
  <c r="O74" i="1" s="1"/>
  <c r="P73" i="1"/>
  <c r="O73" i="1"/>
  <c r="N71" i="1"/>
  <c r="N69" i="1" s="1"/>
  <c r="M71" i="1"/>
  <c r="M69" i="1" s="1"/>
  <c r="L71" i="1"/>
  <c r="P70" i="1"/>
  <c r="O70" i="1"/>
  <c r="P67" i="1"/>
  <c r="O67" i="1"/>
  <c r="N67" i="1"/>
  <c r="M67" i="1"/>
  <c r="L67" i="1"/>
  <c r="N61" i="1"/>
  <c r="N59" i="1" s="1"/>
  <c r="M61" i="1"/>
  <c r="L61" i="1"/>
  <c r="L59" i="1" s="1"/>
  <c r="P60" i="1"/>
  <c r="O60" i="1"/>
  <c r="N58" i="1"/>
  <c r="M58" i="1"/>
  <c r="L58" i="1"/>
  <c r="P57" i="1"/>
  <c r="O57" i="1"/>
  <c r="P54" i="1"/>
  <c r="N54" i="1"/>
  <c r="M54" i="1"/>
  <c r="L54" i="1"/>
  <c r="O54" i="1" s="1"/>
  <c r="N49" i="1"/>
  <c r="M49" i="1"/>
  <c r="P49" i="1" s="1"/>
  <c r="L49" i="1"/>
  <c r="L47" i="1" s="1"/>
  <c r="O47" i="1" s="1"/>
  <c r="P48" i="1"/>
  <c r="O48" i="1"/>
  <c r="N46" i="1"/>
  <c r="N44" i="1" s="1"/>
  <c r="M46" i="1"/>
  <c r="L46" i="1"/>
  <c r="L44" i="1" s="1"/>
  <c r="P45" i="1"/>
  <c r="O45" i="1"/>
  <c r="P42" i="1"/>
  <c r="O42" i="1"/>
  <c r="N42" i="1"/>
  <c r="M42" i="1"/>
  <c r="L42" i="1"/>
  <c r="N36" i="1"/>
  <c r="N34" i="1" s="1"/>
  <c r="M36" i="1"/>
  <c r="P36" i="1" s="1"/>
  <c r="N35" i="1"/>
  <c r="M35" i="1"/>
  <c r="L35" i="1"/>
  <c r="O35" i="1" s="1"/>
  <c r="M33" i="1"/>
  <c r="M31" i="1" s="1"/>
  <c r="P31" i="1" s="1"/>
  <c r="N32" i="1"/>
  <c r="N29" i="1" s="1"/>
  <c r="M32" i="1"/>
  <c r="L32" i="1"/>
  <c r="P25" i="1"/>
  <c r="O25" i="1"/>
  <c r="N25" i="1"/>
  <c r="M25" i="1"/>
  <c r="L25" i="1"/>
  <c r="L15" i="1" s="1"/>
  <c r="O22" i="1"/>
  <c r="N22" i="1"/>
  <c r="N12" i="1" s="1"/>
  <c r="M22" i="1"/>
  <c r="L22" i="1"/>
  <c r="L12" i="1" s="1"/>
  <c r="O19" i="1"/>
  <c r="N19" i="1"/>
  <c r="L19" i="1"/>
  <c r="N15" i="1"/>
  <c r="L788" i="2" l="1"/>
  <c r="O788" i="2" s="1"/>
  <c r="L391" i="19"/>
  <c r="O391" i="19" s="1"/>
  <c r="J722" i="19"/>
  <c r="L555" i="21"/>
  <c r="O555" i="21" s="1"/>
  <c r="L477" i="11"/>
  <c r="O477" i="11" s="1"/>
  <c r="L533" i="12"/>
  <c r="O533" i="12" s="1"/>
  <c r="L422" i="6"/>
  <c r="O422" i="6" s="1"/>
  <c r="L454" i="10"/>
  <c r="O454" i="10" s="1"/>
  <c r="L639" i="17"/>
  <c r="O639" i="17" s="1"/>
  <c r="L526" i="4"/>
  <c r="O526" i="4" s="1"/>
  <c r="L789" i="7"/>
  <c r="O789" i="7" s="1"/>
  <c r="I130" i="3"/>
  <c r="K130" i="3" s="1"/>
  <c r="L555" i="19"/>
  <c r="O555" i="19" s="1"/>
  <c r="N391" i="19"/>
  <c r="L658" i="19"/>
  <c r="O658" i="19" s="1"/>
  <c r="L547" i="10"/>
  <c r="O547" i="10" s="1"/>
  <c r="L429" i="15"/>
  <c r="O429" i="15" s="1"/>
  <c r="L789" i="16"/>
  <c r="O789" i="16" s="1"/>
  <c r="I522" i="17"/>
  <c r="K522" i="17" s="1"/>
  <c r="I216" i="20"/>
  <c r="K216" i="20" s="1"/>
  <c r="L454" i="14"/>
  <c r="O454" i="14" s="1"/>
  <c r="L639" i="16"/>
  <c r="O639" i="16" s="1"/>
  <c r="L788" i="10"/>
  <c r="O788" i="10" s="1"/>
  <c r="L167" i="17"/>
  <c r="O167" i="17" s="1"/>
  <c r="L555" i="9"/>
  <c r="O555" i="9" s="1"/>
  <c r="L454" i="17"/>
  <c r="O454" i="17" s="1"/>
  <c r="K359" i="20"/>
  <c r="N90" i="21"/>
  <c r="L447" i="6"/>
  <c r="O447" i="6" s="1"/>
  <c r="L454" i="15"/>
  <c r="O454" i="15" s="1"/>
  <c r="M43" i="20"/>
  <c r="M41" i="20" s="1"/>
  <c r="L632" i="12"/>
  <c r="O632" i="12" s="1"/>
  <c r="L55" i="17"/>
  <c r="L53" i="17" s="1"/>
  <c r="L470" i="5"/>
  <c r="O470" i="5" s="1"/>
  <c r="P49" i="20"/>
  <c r="N279" i="16"/>
  <c r="N277" i="16" s="1"/>
  <c r="L470" i="14"/>
  <c r="O470" i="14" s="1"/>
  <c r="K628" i="21"/>
  <c r="L47" i="19"/>
  <c r="O47" i="19" s="1"/>
  <c r="K821" i="21"/>
  <c r="K824" i="21"/>
  <c r="L788" i="18"/>
  <c r="O788" i="18" s="1"/>
  <c r="N151" i="19"/>
  <c r="N149" i="19" s="1"/>
  <c r="K827" i="21"/>
  <c r="L47" i="20"/>
  <c r="O47" i="20" s="1"/>
  <c r="O266" i="19"/>
  <c r="N263" i="19"/>
  <c r="N261" i="19" s="1"/>
  <c r="L68" i="21"/>
  <c r="L231" i="21"/>
  <c r="L421" i="21"/>
  <c r="L419" i="21" s="1"/>
  <c r="K674" i="21"/>
  <c r="I216" i="21"/>
  <c r="K216" i="21" s="1"/>
  <c r="I233" i="21"/>
  <c r="K233" i="21" s="1"/>
  <c r="L228" i="21"/>
  <c r="O282" i="21"/>
  <c r="L36" i="21"/>
  <c r="O36" i="21" s="1"/>
  <c r="L55" i="21"/>
  <c r="L53" i="21" s="1"/>
  <c r="O660" i="21"/>
  <c r="N134" i="20"/>
  <c r="N132" i="20" s="1"/>
  <c r="O61" i="21"/>
  <c r="N68" i="21"/>
  <c r="N66" i="21" s="1"/>
  <c r="I197" i="21"/>
  <c r="K197" i="21" s="1"/>
  <c r="I208" i="21"/>
  <c r="K208" i="21" s="1"/>
  <c r="L263" i="21"/>
  <c r="L261" i="21" s="1"/>
  <c r="N279" i="21"/>
  <c r="N277" i="21" s="1"/>
  <c r="L408" i="21"/>
  <c r="O408" i="21" s="1"/>
  <c r="J722" i="21"/>
  <c r="O791" i="21"/>
  <c r="I785" i="21"/>
  <c r="O71" i="20"/>
  <c r="I260" i="20"/>
  <c r="K260" i="20" s="1"/>
  <c r="L151" i="21"/>
  <c r="O151" i="21" s="1"/>
  <c r="L546" i="21"/>
  <c r="L544" i="21" s="1"/>
  <c r="O544" i="21" s="1"/>
  <c r="K828" i="20"/>
  <c r="O58" i="21"/>
  <c r="N134" i="21"/>
  <c r="N132" i="21" s="1"/>
  <c r="I522" i="21"/>
  <c r="K522" i="21" s="1"/>
  <c r="N167" i="19"/>
  <c r="N165" i="19" s="1"/>
  <c r="L321" i="21"/>
  <c r="O321" i="21" s="1"/>
  <c r="P348" i="18"/>
  <c r="P71" i="20"/>
  <c r="M135" i="20"/>
  <c r="P135" i="20" s="1"/>
  <c r="M68" i="21"/>
  <c r="M66" i="21" s="1"/>
  <c r="K193" i="21"/>
  <c r="K360" i="21"/>
  <c r="K381" i="21"/>
  <c r="M72" i="21"/>
  <c r="P72" i="21" s="1"/>
  <c r="L631" i="21"/>
  <c r="L629" i="21" s="1"/>
  <c r="L639" i="21"/>
  <c r="O639" i="21" s="1"/>
  <c r="M167" i="20"/>
  <c r="M165" i="20" s="1"/>
  <c r="M263" i="20"/>
  <c r="M43" i="21"/>
  <c r="M41" i="21" s="1"/>
  <c r="L135" i="21"/>
  <c r="O135" i="21" s="1"/>
  <c r="K370" i="21"/>
  <c r="N404" i="21"/>
  <c r="N402" i="21" s="1"/>
  <c r="K372" i="20"/>
  <c r="N391" i="20"/>
  <c r="N389" i="20" s="1"/>
  <c r="K824" i="20"/>
  <c r="K827" i="20"/>
  <c r="L33" i="21"/>
  <c r="L31" i="21" s="1"/>
  <c r="N43" i="21"/>
  <c r="N41" i="21" s="1"/>
  <c r="K100" i="21"/>
  <c r="M279" i="21"/>
  <c r="M277" i="21" s="1"/>
  <c r="O353" i="21"/>
  <c r="K359" i="21"/>
  <c r="N408" i="21"/>
  <c r="K370" i="20"/>
  <c r="M152" i="21"/>
  <c r="P152" i="21" s="1"/>
  <c r="L238" i="21"/>
  <c r="O238" i="21" s="1"/>
  <c r="N300" i="21"/>
  <c r="N298" i="21" s="1"/>
  <c r="J327" i="21"/>
  <c r="K327" i="21" s="1"/>
  <c r="N90" i="20"/>
  <c r="N88" i="20" s="1"/>
  <c r="N135" i="20"/>
  <c r="L138" i="20"/>
  <c r="O138" i="20" s="1"/>
  <c r="N183" i="20"/>
  <c r="N181" i="20" s="1"/>
  <c r="M279" i="20"/>
  <c r="M277" i="20" s="1"/>
  <c r="M318" i="20"/>
  <c r="P318" i="20" s="1"/>
  <c r="K720" i="20"/>
  <c r="M44" i="21"/>
  <c r="P44" i="21" s="1"/>
  <c r="N26" i="21"/>
  <c r="M55" i="21"/>
  <c r="M53" i="21" s="1"/>
  <c r="N135" i="21"/>
  <c r="K159" i="21"/>
  <c r="M167" i="21"/>
  <c r="M165" i="21" s="1"/>
  <c r="M263" i="21"/>
  <c r="M261" i="21" s="1"/>
  <c r="K379" i="21"/>
  <c r="M392" i="21"/>
  <c r="P392" i="21" s="1"/>
  <c r="L395" i="21"/>
  <c r="O395" i="21" s="1"/>
  <c r="K651" i="21"/>
  <c r="J785" i="21"/>
  <c r="L187" i="19"/>
  <c r="O187" i="19" s="1"/>
  <c r="I276" i="20"/>
  <c r="K276" i="20" s="1"/>
  <c r="M47" i="21"/>
  <c r="P47" i="21" s="1"/>
  <c r="M267" i="21"/>
  <c r="P267" i="21" s="1"/>
  <c r="P407" i="21"/>
  <c r="J364" i="21"/>
  <c r="O170" i="20"/>
  <c r="N69" i="21"/>
  <c r="P69" i="21" s="1"/>
  <c r="N91" i="21"/>
  <c r="O91" i="21" s="1"/>
  <c r="L94" i="21"/>
  <c r="O94" i="21" s="1"/>
  <c r="K271" i="21"/>
  <c r="L280" i="21"/>
  <c r="M300" i="21"/>
  <c r="K369" i="21"/>
  <c r="K372" i="21"/>
  <c r="L526" i="21"/>
  <c r="O526" i="21" s="1"/>
  <c r="J721" i="21"/>
  <c r="L470" i="19"/>
  <c r="O470" i="19" s="1"/>
  <c r="J143" i="21"/>
  <c r="J131" i="21" s="1"/>
  <c r="L230" i="21"/>
  <c r="K675" i="21"/>
  <c r="N68" i="20"/>
  <c r="N66" i="20" s="1"/>
  <c r="L135" i="20"/>
  <c r="O135" i="20" s="1"/>
  <c r="M151" i="20"/>
  <c r="M149" i="20" s="1"/>
  <c r="N167" i="20"/>
  <c r="N165" i="20" s="1"/>
  <c r="M121" i="21"/>
  <c r="P121" i="21" s="1"/>
  <c r="M125" i="21"/>
  <c r="P125" i="21" s="1"/>
  <c r="L167" i="21"/>
  <c r="L165" i="21" s="1"/>
  <c r="L183" i="21"/>
  <c r="L181" i="21" s="1"/>
  <c r="K255" i="21"/>
  <c r="K309" i="21"/>
  <c r="P323" i="21"/>
  <c r="M404" i="21"/>
  <c r="O634" i="21"/>
  <c r="K647" i="21"/>
  <c r="N90" i="19"/>
  <c r="N88" i="19" s="1"/>
  <c r="L69" i="20"/>
  <c r="O69" i="20" s="1"/>
  <c r="N347" i="20"/>
  <c r="N345" i="20" s="1"/>
  <c r="L391" i="20"/>
  <c r="O391" i="20" s="1"/>
  <c r="J433" i="20"/>
  <c r="J417" i="20" s="1"/>
  <c r="N23" i="21"/>
  <c r="N21" i="21" s="1"/>
  <c r="N47" i="21"/>
  <c r="P58" i="21"/>
  <c r="P71" i="21"/>
  <c r="I76" i="21"/>
  <c r="I64" i="21" s="1"/>
  <c r="K64" i="21" s="1"/>
  <c r="I87" i="21"/>
  <c r="K87" i="21" s="1"/>
  <c r="L90" i="21"/>
  <c r="O93" i="21"/>
  <c r="K98" i="21"/>
  <c r="L138" i="21"/>
  <c r="O138" i="21" s="1"/>
  <c r="K145" i="21"/>
  <c r="M151" i="21"/>
  <c r="P151" i="21" s="1"/>
  <c r="M183" i="21"/>
  <c r="M181" i="21" s="1"/>
  <c r="I276" i="21"/>
  <c r="K276" i="21" s="1"/>
  <c r="N280" i="21"/>
  <c r="I314" i="21"/>
  <c r="K314" i="21" s="1"/>
  <c r="L317" i="21"/>
  <c r="O317" i="21" s="1"/>
  <c r="L334" i="21"/>
  <c r="O334" i="21" s="1"/>
  <c r="M347" i="21"/>
  <c r="M345" i="21" s="1"/>
  <c r="P353" i="21"/>
  <c r="L405" i="21"/>
  <c r="O405" i="21" s="1"/>
  <c r="L446" i="21"/>
  <c r="O446" i="21" s="1"/>
  <c r="I654" i="21"/>
  <c r="K654" i="21" s="1"/>
  <c r="L657" i="21"/>
  <c r="K672" i="21"/>
  <c r="L688" i="21"/>
  <c r="O688" i="21" s="1"/>
  <c r="K801" i="21"/>
  <c r="I131" i="18"/>
  <c r="K131" i="18" s="1"/>
  <c r="I174" i="19"/>
  <c r="K174" i="19" s="1"/>
  <c r="L404" i="19"/>
  <c r="O404" i="19" s="1"/>
  <c r="I559" i="19"/>
  <c r="I543" i="19" s="1"/>
  <c r="K543" i="19" s="1"/>
  <c r="L36" i="20"/>
  <c r="O36" i="20" s="1"/>
  <c r="M69" i="20"/>
  <c r="P69" i="20" s="1"/>
  <c r="K99" i="20"/>
  <c r="N263" i="20"/>
  <c r="N261" i="20" s="1"/>
  <c r="L279" i="20"/>
  <c r="L277" i="20" s="1"/>
  <c r="L786" i="20"/>
  <c r="O786" i="20" s="1"/>
  <c r="O791" i="20"/>
  <c r="L59" i="21"/>
  <c r="O59" i="21" s="1"/>
  <c r="L134" i="21"/>
  <c r="O134" i="21" s="1"/>
  <c r="M187" i="21"/>
  <c r="P187" i="21" s="1"/>
  <c r="L217" i="21"/>
  <c r="O217" i="21" s="1"/>
  <c r="L229" i="21"/>
  <c r="L279" i="21"/>
  <c r="L283" i="21"/>
  <c r="O283" i="21" s="1"/>
  <c r="L318" i="21"/>
  <c r="O318" i="21" s="1"/>
  <c r="L351" i="21"/>
  <c r="O351" i="21" s="1"/>
  <c r="K365" i="21"/>
  <c r="L404" i="21"/>
  <c r="O404" i="21" s="1"/>
  <c r="N88" i="21"/>
  <c r="K359" i="14"/>
  <c r="K362" i="14"/>
  <c r="P173" i="20"/>
  <c r="L283" i="20"/>
  <c r="O283" i="20" s="1"/>
  <c r="M300" i="20"/>
  <c r="M298" i="20" s="1"/>
  <c r="L421" i="20"/>
  <c r="O421" i="20" s="1"/>
  <c r="N55" i="21"/>
  <c r="P59" i="21"/>
  <c r="I143" i="21"/>
  <c r="P168" i="21"/>
  <c r="P170" i="21"/>
  <c r="L209" i="21"/>
  <c r="O209" i="21" s="1"/>
  <c r="K297" i="21"/>
  <c r="K362" i="21"/>
  <c r="K385" i="21"/>
  <c r="I559" i="21"/>
  <c r="K559" i="21" s="1"/>
  <c r="K699" i="21"/>
  <c r="M330" i="21"/>
  <c r="M328" i="21" s="1"/>
  <c r="N43" i="20"/>
  <c r="N41" i="20" s="1"/>
  <c r="M317" i="20"/>
  <c r="P317" i="20" s="1"/>
  <c r="K577" i="20"/>
  <c r="L43" i="21"/>
  <c r="P56" i="21"/>
  <c r="P61" i="21"/>
  <c r="M122" i="21"/>
  <c r="P122" i="21" s="1"/>
  <c r="M155" i="21"/>
  <c r="P155" i="21" s="1"/>
  <c r="M171" i="21"/>
  <c r="P171" i="21" s="1"/>
  <c r="K260" i="21"/>
  <c r="P264" i="21"/>
  <c r="M304" i="21"/>
  <c r="P304" i="21" s="1"/>
  <c r="L330" i="21"/>
  <c r="L328" i="21" s="1"/>
  <c r="K355" i="21"/>
  <c r="K649" i="21"/>
  <c r="K822" i="21"/>
  <c r="K825" i="21"/>
  <c r="K828" i="21"/>
  <c r="K822" i="20"/>
  <c r="K825" i="20"/>
  <c r="O56" i="21"/>
  <c r="K340" i="21"/>
  <c r="L347" i="21"/>
  <c r="L345" i="21" s="1"/>
  <c r="N391" i="21"/>
  <c r="N389" i="21" s="1"/>
  <c r="K700" i="21"/>
  <c r="K460" i="20"/>
  <c r="I442" i="20"/>
  <c r="K442" i="20" s="1"/>
  <c r="M91" i="21"/>
  <c r="P93" i="21"/>
  <c r="L125" i="21"/>
  <c r="O125" i="21" s="1"/>
  <c r="O127" i="21"/>
  <c r="O189" i="21"/>
  <c r="L187" i="21"/>
  <c r="O187" i="21" s="1"/>
  <c r="P807" i="21"/>
  <c r="M805" i="21"/>
  <c r="P805" i="21" s="1"/>
  <c r="J721" i="18"/>
  <c r="I237" i="20"/>
  <c r="K237" i="20" s="1"/>
  <c r="N300" i="20"/>
  <c r="N298" i="20" s="1"/>
  <c r="P303" i="20"/>
  <c r="M321" i="20"/>
  <c r="P321" i="20" s="1"/>
  <c r="P350" i="20"/>
  <c r="M404" i="20"/>
  <c r="P404" i="20" s="1"/>
  <c r="O89" i="21"/>
  <c r="N122" i="21"/>
  <c r="N121" i="21"/>
  <c r="N119" i="21" s="1"/>
  <c r="P262" i="21"/>
  <c r="N348" i="21"/>
  <c r="P348" i="21" s="1"/>
  <c r="N347" i="21"/>
  <c r="N345" i="21" s="1"/>
  <c r="M280" i="19"/>
  <c r="P280" i="19" s="1"/>
  <c r="M283" i="19"/>
  <c r="P283" i="19" s="1"/>
  <c r="L72" i="20"/>
  <c r="O72" i="20" s="1"/>
  <c r="L231" i="20"/>
  <c r="P407" i="20"/>
  <c r="M405" i="20"/>
  <c r="P405" i="20" s="1"/>
  <c r="P35" i="21"/>
  <c r="M34" i="21"/>
  <c r="P34" i="21" s="1"/>
  <c r="M94" i="21"/>
  <c r="P94" i="21" s="1"/>
  <c r="P96" i="21"/>
  <c r="N184" i="21"/>
  <c r="P184" i="21" s="1"/>
  <c r="N183" i="21"/>
  <c r="P186" i="21"/>
  <c r="L217" i="20"/>
  <c r="O217" i="20" s="1"/>
  <c r="L263" i="20"/>
  <c r="L261" i="20" s="1"/>
  <c r="K647" i="20"/>
  <c r="O660" i="20"/>
  <c r="L657" i="20"/>
  <c r="O657" i="20" s="1"/>
  <c r="L658" i="20"/>
  <c r="O658" i="20" s="1"/>
  <c r="K699" i="20"/>
  <c r="K826" i="20"/>
  <c r="M15" i="21"/>
  <c r="M29" i="21"/>
  <c r="N34" i="21"/>
  <c r="L69" i="21"/>
  <c r="O71" i="21"/>
  <c r="K86" i="21"/>
  <c r="J722" i="18"/>
  <c r="M138" i="19"/>
  <c r="P138" i="19" s="1"/>
  <c r="N183" i="19"/>
  <c r="N181" i="19" s="1"/>
  <c r="M59" i="20"/>
  <c r="P59" i="20" s="1"/>
  <c r="L151" i="20"/>
  <c r="L149" i="20" s="1"/>
  <c r="L405" i="20"/>
  <c r="O405" i="20" s="1"/>
  <c r="P22" i="21"/>
  <c r="M19" i="21"/>
  <c r="M12" i="21"/>
  <c r="L44" i="21"/>
  <c r="O44" i="21" s="1"/>
  <c r="L23" i="21"/>
  <c r="O46" i="21"/>
  <c r="L72" i="21"/>
  <c r="O72" i="21" s="1"/>
  <c r="O74" i="21"/>
  <c r="M283" i="21"/>
  <c r="P283" i="21" s="1"/>
  <c r="P285" i="21"/>
  <c r="K338" i="19"/>
  <c r="K359" i="19"/>
  <c r="I433" i="20"/>
  <c r="I417" i="20" s="1"/>
  <c r="M23" i="21"/>
  <c r="L47" i="21"/>
  <c r="O47" i="21" s="1"/>
  <c r="O49" i="21"/>
  <c r="L26" i="21"/>
  <c r="M90" i="21"/>
  <c r="L121" i="21"/>
  <c r="L301" i="21"/>
  <c r="O303" i="21"/>
  <c r="L300" i="21"/>
  <c r="M135" i="21"/>
  <c r="P135" i="21" s="1"/>
  <c r="P137" i="21"/>
  <c r="L267" i="21"/>
  <c r="O267" i="21" s="1"/>
  <c r="O269" i="21"/>
  <c r="O278" i="21"/>
  <c r="L304" i="21"/>
  <c r="O304" i="21" s="1"/>
  <c r="O306" i="21"/>
  <c r="N317" i="21"/>
  <c r="N315" i="21" s="1"/>
  <c r="N321" i="21"/>
  <c r="N331" i="21"/>
  <c r="P331" i="21" s="1"/>
  <c r="N330" i="21"/>
  <c r="P397" i="21"/>
  <c r="M391" i="21"/>
  <c r="P391" i="21" s="1"/>
  <c r="M395" i="21"/>
  <c r="P395" i="21" s="1"/>
  <c r="N421" i="21"/>
  <c r="N422" i="21"/>
  <c r="O422" i="21" s="1"/>
  <c r="I417" i="21"/>
  <c r="K374" i="20"/>
  <c r="K379" i="20"/>
  <c r="L12" i="21"/>
  <c r="L19" i="21"/>
  <c r="M26" i="21"/>
  <c r="I77" i="21"/>
  <c r="K82" i="21"/>
  <c r="J86" i="21"/>
  <c r="K244" i="21"/>
  <c r="I237" i="21"/>
  <c r="P266" i="21"/>
  <c r="P299" i="21"/>
  <c r="P303" i="21"/>
  <c r="N301" i="21"/>
  <c r="P301" i="21" s="1"/>
  <c r="P346" i="21"/>
  <c r="K385" i="20"/>
  <c r="K729" i="20"/>
  <c r="N33" i="21"/>
  <c r="N151" i="21"/>
  <c r="N149" i="21" s="1"/>
  <c r="L152" i="21"/>
  <c r="O152" i="21" s="1"/>
  <c r="O154" i="21"/>
  <c r="N167" i="21"/>
  <c r="O170" i="21"/>
  <c r="L168" i="21"/>
  <c r="O168" i="21" s="1"/>
  <c r="M280" i="21"/>
  <c r="P282" i="21"/>
  <c r="P329" i="21"/>
  <c r="K378" i="21"/>
  <c r="P525" i="21"/>
  <c r="M523" i="21"/>
  <c r="P523" i="21" s="1"/>
  <c r="N12" i="21"/>
  <c r="P46" i="21"/>
  <c r="L122" i="21"/>
  <c r="O122" i="21" s="1"/>
  <c r="O124" i="21"/>
  <c r="M134" i="21"/>
  <c r="M138" i="21"/>
  <c r="P138" i="21" s="1"/>
  <c r="P140" i="21"/>
  <c r="P150" i="21"/>
  <c r="P166" i="21"/>
  <c r="K176" i="21"/>
  <c r="I174" i="21"/>
  <c r="O186" i="21"/>
  <c r="L184" i="21"/>
  <c r="J288" i="21"/>
  <c r="J275" i="21" s="1"/>
  <c r="I275" i="21"/>
  <c r="M318" i="21"/>
  <c r="P318" i="21" s="1"/>
  <c r="P320" i="21"/>
  <c r="M317" i="21"/>
  <c r="P317" i="21" s="1"/>
  <c r="L477" i="21"/>
  <c r="O477" i="21" s="1"/>
  <c r="O479" i="21"/>
  <c r="L469" i="21"/>
  <c r="K115" i="21"/>
  <c r="I112" i="21"/>
  <c r="K112" i="21" s="1"/>
  <c r="P120" i="21"/>
  <c r="O133" i="21"/>
  <c r="L155" i="21"/>
  <c r="O155" i="21" s="1"/>
  <c r="O157" i="21"/>
  <c r="O173" i="21"/>
  <c r="L171" i="21"/>
  <c r="O171" i="21" s="1"/>
  <c r="P182" i="21"/>
  <c r="L198" i="21"/>
  <c r="O198" i="21" s="1"/>
  <c r="L249" i="21"/>
  <c r="O249" i="21" s="1"/>
  <c r="N263" i="21"/>
  <c r="L264" i="21"/>
  <c r="O264" i="21" s="1"/>
  <c r="O266" i="21"/>
  <c r="K338" i="21"/>
  <c r="O394" i="21"/>
  <c r="L391" i="21"/>
  <c r="L392" i="21"/>
  <c r="O392" i="21" s="1"/>
  <c r="P316" i="21"/>
  <c r="O333" i="21"/>
  <c r="O350" i="21"/>
  <c r="I364" i="21"/>
  <c r="N469" i="21"/>
  <c r="N467" i="21" s="1"/>
  <c r="N470" i="21"/>
  <c r="N687" i="21"/>
  <c r="N685" i="21" s="1"/>
  <c r="N688" i="21"/>
  <c r="N756" i="21"/>
  <c r="N754" i="21" s="1"/>
  <c r="N757" i="21"/>
  <c r="O772" i="21"/>
  <c r="L770" i="21"/>
  <c r="O770" i="21" s="1"/>
  <c r="O806" i="21"/>
  <c r="L805" i="21"/>
  <c r="O805" i="21" s="1"/>
  <c r="P419" i="21"/>
  <c r="O524" i="21"/>
  <c r="J537" i="21"/>
  <c r="J522" i="21" s="1"/>
  <c r="K539" i="21"/>
  <c r="L331" i="21"/>
  <c r="M334" i="21"/>
  <c r="P334" i="21" s="1"/>
  <c r="L348" i="21"/>
  <c r="M351" i="21"/>
  <c r="P351" i="21" s="1"/>
  <c r="K374" i="21"/>
  <c r="N392" i="21"/>
  <c r="M408" i="21"/>
  <c r="P408" i="21" s="1"/>
  <c r="P410" i="21"/>
  <c r="K435" i="21"/>
  <c r="J433" i="21"/>
  <c r="J417" i="21" s="1"/>
  <c r="I442" i="21"/>
  <c r="K442" i="21" s="1"/>
  <c r="N526" i="21"/>
  <c r="O739" i="21"/>
  <c r="L737" i="21"/>
  <c r="O737" i="21" s="1"/>
  <c r="N772" i="21"/>
  <c r="N770" i="21" s="1"/>
  <c r="N773" i="21"/>
  <c r="N805" i="21"/>
  <c r="O420" i="21"/>
  <c r="N523" i="21"/>
  <c r="K592" i="21"/>
  <c r="P656" i="21"/>
  <c r="M655" i="21"/>
  <c r="P655" i="21" s="1"/>
  <c r="P333" i="21"/>
  <c r="P350" i="21"/>
  <c r="O424" i="21"/>
  <c r="K438" i="21"/>
  <c r="I434" i="21"/>
  <c r="P445" i="21"/>
  <c r="M444" i="21"/>
  <c r="P444" i="21" s="1"/>
  <c r="O449" i="21"/>
  <c r="L470" i="21"/>
  <c r="O472" i="21"/>
  <c r="K594" i="21"/>
  <c r="N739" i="21"/>
  <c r="N737" i="21" s="1"/>
  <c r="N740" i="21"/>
  <c r="O756" i="21"/>
  <c r="L754" i="21"/>
  <c r="O754" i="21" s="1"/>
  <c r="O545" i="21"/>
  <c r="K669" i="21"/>
  <c r="L687" i="21"/>
  <c r="O687" i="21" s="1"/>
  <c r="I443" i="21"/>
  <c r="K443" i="21" s="1"/>
  <c r="L454" i="21"/>
  <c r="O454" i="21" s="1"/>
  <c r="M467" i="21"/>
  <c r="P467" i="21" s="1"/>
  <c r="L502" i="21"/>
  <c r="O502" i="21" s="1"/>
  <c r="L533" i="21"/>
  <c r="O533" i="21" s="1"/>
  <c r="N631" i="21"/>
  <c r="M737" i="21"/>
  <c r="P737" i="21" s="1"/>
  <c r="M754" i="21"/>
  <c r="P754" i="21" s="1"/>
  <c r="M770" i="21"/>
  <c r="P770" i="21" s="1"/>
  <c r="L786" i="21"/>
  <c r="N788" i="21"/>
  <c r="O788" i="21" s="1"/>
  <c r="M502" i="21"/>
  <c r="P502" i="21" s="1"/>
  <c r="K593" i="21"/>
  <c r="M629" i="21"/>
  <c r="P629" i="21" s="1"/>
  <c r="M685" i="21"/>
  <c r="P685" i="21" s="1"/>
  <c r="M786" i="21"/>
  <c r="P786" i="21" s="1"/>
  <c r="L525" i="21"/>
  <c r="O525" i="21" s="1"/>
  <c r="O282" i="19"/>
  <c r="L280" i="19"/>
  <c r="O280" i="19" s="1"/>
  <c r="O173" i="20"/>
  <c r="L171" i="20"/>
  <c r="O171" i="20" s="1"/>
  <c r="O306" i="20"/>
  <c r="L304" i="20"/>
  <c r="O304" i="20" s="1"/>
  <c r="K673" i="20"/>
  <c r="K674" i="20"/>
  <c r="I654" i="20"/>
  <c r="K654" i="20" s="1"/>
  <c r="K821" i="18"/>
  <c r="M90" i="20"/>
  <c r="M88" i="20" s="1"/>
  <c r="P96" i="20"/>
  <c r="M94" i="20"/>
  <c r="P94" i="20" s="1"/>
  <c r="P127" i="20"/>
  <c r="M125" i="20"/>
  <c r="P125" i="20" s="1"/>
  <c r="L300" i="20"/>
  <c r="L298" i="20" s="1"/>
  <c r="K823" i="20"/>
  <c r="L334" i="17"/>
  <c r="O334" i="17" s="1"/>
  <c r="L231" i="18"/>
  <c r="I248" i="19"/>
  <c r="K248" i="19" s="1"/>
  <c r="K255" i="19"/>
  <c r="P124" i="20"/>
  <c r="M23" i="20"/>
  <c r="M21" i="20" s="1"/>
  <c r="M121" i="20"/>
  <c r="P121" i="20" s="1"/>
  <c r="L122" i="18"/>
  <c r="O122" i="18" s="1"/>
  <c r="L321" i="18"/>
  <c r="O321" i="18" s="1"/>
  <c r="K649" i="18"/>
  <c r="N91" i="20"/>
  <c r="P91" i="20" s="1"/>
  <c r="P93" i="20"/>
  <c r="O189" i="20"/>
  <c r="L183" i="20"/>
  <c r="K193" i="20"/>
  <c r="I190" i="20"/>
  <c r="K190" i="20" s="1"/>
  <c r="K325" i="20"/>
  <c r="I314" i="20"/>
  <c r="K314" i="20" s="1"/>
  <c r="K700" i="20"/>
  <c r="P140" i="20"/>
  <c r="M138" i="20"/>
  <c r="P138" i="20" s="1"/>
  <c r="N151" i="20"/>
  <c r="P189" i="19"/>
  <c r="M187" i="19"/>
  <c r="P187" i="19" s="1"/>
  <c r="M183" i="19"/>
  <c r="M181" i="19" s="1"/>
  <c r="I174" i="20"/>
  <c r="K174" i="20" s="1"/>
  <c r="K176" i="20"/>
  <c r="M184" i="20"/>
  <c r="P184" i="20" s="1"/>
  <c r="M183" i="20"/>
  <c r="M181" i="20" s="1"/>
  <c r="P186" i="20"/>
  <c r="M391" i="20"/>
  <c r="P391" i="20" s="1"/>
  <c r="M90" i="19"/>
  <c r="M88" i="19" s="1"/>
  <c r="L231" i="19"/>
  <c r="K649" i="19"/>
  <c r="L198" i="20"/>
  <c r="O198" i="20" s="1"/>
  <c r="O264" i="20"/>
  <c r="L330" i="20"/>
  <c r="L328" i="20" s="1"/>
  <c r="K355" i="20"/>
  <c r="K369" i="20"/>
  <c r="L408" i="20"/>
  <c r="O408" i="20" s="1"/>
  <c r="L546" i="20"/>
  <c r="O546" i="20" s="1"/>
  <c r="K725" i="20"/>
  <c r="O46" i="20"/>
  <c r="N168" i="20"/>
  <c r="K360" i="20"/>
  <c r="K381" i="20"/>
  <c r="K649" i="20"/>
  <c r="O93" i="20"/>
  <c r="L209" i="20"/>
  <c r="O209" i="20" s="1"/>
  <c r="L238" i="20"/>
  <c r="O238" i="20" s="1"/>
  <c r="L228" i="19"/>
  <c r="I434" i="19"/>
  <c r="I418" i="19" s="1"/>
  <c r="K418" i="19" s="1"/>
  <c r="L657" i="19"/>
  <c r="O657" i="19" s="1"/>
  <c r="M55" i="20"/>
  <c r="M53" i="20" s="1"/>
  <c r="N26" i="20"/>
  <c r="N16" i="20" s="1"/>
  <c r="N14" i="20" s="1"/>
  <c r="M72" i="20"/>
  <c r="P72" i="20" s="1"/>
  <c r="O186" i="20"/>
  <c r="L321" i="20"/>
  <c r="O321" i="20" s="1"/>
  <c r="N330" i="20"/>
  <c r="N328" i="20" s="1"/>
  <c r="K338" i="20"/>
  <c r="I364" i="20"/>
  <c r="L404" i="20"/>
  <c r="O557" i="20"/>
  <c r="J721" i="20"/>
  <c r="K721" i="20" s="1"/>
  <c r="N55" i="17"/>
  <c r="N53" i="17" s="1"/>
  <c r="M279" i="18"/>
  <c r="M277" i="18" s="1"/>
  <c r="N91" i="19"/>
  <c r="O91" i="19" s="1"/>
  <c r="L198" i="19"/>
  <c r="O198" i="19" s="1"/>
  <c r="K224" i="19"/>
  <c r="L44" i="20"/>
  <c r="O44" i="20" s="1"/>
  <c r="N59" i="20"/>
  <c r="K159" i="20"/>
  <c r="L168" i="20"/>
  <c r="L187" i="20"/>
  <c r="O187" i="20" s="1"/>
  <c r="L228" i="20"/>
  <c r="L229" i="20"/>
  <c r="M304" i="20"/>
  <c r="P304" i="20" s="1"/>
  <c r="O472" i="20"/>
  <c r="L469" i="20"/>
  <c r="L467" i="20" s="1"/>
  <c r="P58" i="18"/>
  <c r="L263" i="18"/>
  <c r="L261" i="18" s="1"/>
  <c r="L301" i="19"/>
  <c r="O301" i="19" s="1"/>
  <c r="L317" i="19"/>
  <c r="O431" i="19"/>
  <c r="O791" i="19"/>
  <c r="M44" i="20"/>
  <c r="P44" i="20" s="1"/>
  <c r="L68" i="20"/>
  <c r="L91" i="20"/>
  <c r="L134" i="20"/>
  <c r="O134" i="20" s="1"/>
  <c r="M168" i="20"/>
  <c r="M187" i="20"/>
  <c r="P187" i="20" s="1"/>
  <c r="L230" i="20"/>
  <c r="J288" i="20"/>
  <c r="J275" i="20" s="1"/>
  <c r="K275" i="20" s="1"/>
  <c r="O303" i="20"/>
  <c r="K340" i="20"/>
  <c r="M408" i="20"/>
  <c r="P408" i="20" s="1"/>
  <c r="P410" i="20"/>
  <c r="L183" i="18"/>
  <c r="L181" i="18" s="1"/>
  <c r="O46" i="19"/>
  <c r="N168" i="19"/>
  <c r="O168" i="19" s="1"/>
  <c r="L230" i="19"/>
  <c r="P303" i="19"/>
  <c r="L43" i="20"/>
  <c r="L41" i="20" s="1"/>
  <c r="P46" i="20"/>
  <c r="M68" i="20"/>
  <c r="M134" i="20"/>
  <c r="L167" i="20"/>
  <c r="P170" i="20"/>
  <c r="I208" i="20"/>
  <c r="K208" i="20" s="1"/>
  <c r="N279" i="20"/>
  <c r="L301" i="20"/>
  <c r="L347" i="20"/>
  <c r="K378" i="20"/>
  <c r="M347" i="18"/>
  <c r="M345" i="18" s="1"/>
  <c r="L304" i="19"/>
  <c r="O304" i="19" s="1"/>
  <c r="L318" i="19"/>
  <c r="O318" i="19" s="1"/>
  <c r="O184" i="20"/>
  <c r="L317" i="20"/>
  <c r="O320" i="20"/>
  <c r="P323" i="20"/>
  <c r="O449" i="20"/>
  <c r="L447" i="20"/>
  <c r="O447" i="20" s="1"/>
  <c r="N121" i="19"/>
  <c r="N119" i="19" s="1"/>
  <c r="M135" i="19"/>
  <c r="P135" i="19" s="1"/>
  <c r="L279" i="19"/>
  <c r="O279" i="19" s="1"/>
  <c r="K370" i="19"/>
  <c r="K379" i="19"/>
  <c r="L23" i="20"/>
  <c r="L21" i="20" s="1"/>
  <c r="N55" i="20"/>
  <c r="L94" i="20"/>
  <c r="O94" i="20" s="1"/>
  <c r="I112" i="20"/>
  <c r="K112" i="20" s="1"/>
  <c r="M122" i="20"/>
  <c r="P122" i="20" s="1"/>
  <c r="N121" i="20"/>
  <c r="N119" i="20" s="1"/>
  <c r="L249" i="20"/>
  <c r="O249" i="20" s="1"/>
  <c r="N301" i="20"/>
  <c r="P301" i="20" s="1"/>
  <c r="J327" i="20"/>
  <c r="K327" i="20" s="1"/>
  <c r="M348" i="20"/>
  <c r="P348" i="20" s="1"/>
  <c r="K362" i="20"/>
  <c r="K569" i="20"/>
  <c r="K620" i="20"/>
  <c r="K675" i="20"/>
  <c r="N404" i="20"/>
  <c r="N402" i="20" s="1"/>
  <c r="K537" i="20"/>
  <c r="K561" i="20"/>
  <c r="L631" i="20"/>
  <c r="J722" i="20"/>
  <c r="K722" i="20" s="1"/>
  <c r="J364" i="19"/>
  <c r="P15" i="20"/>
  <c r="P54" i="20"/>
  <c r="L59" i="20"/>
  <c r="O59" i="20" s="1"/>
  <c r="O61" i="20"/>
  <c r="P120" i="20"/>
  <c r="L125" i="20"/>
  <c r="O125" i="20" s="1"/>
  <c r="O127" i="20"/>
  <c r="O150" i="20"/>
  <c r="P353" i="20"/>
  <c r="M351" i="20"/>
  <c r="P351" i="20" s="1"/>
  <c r="K462" i="20"/>
  <c r="I443" i="20"/>
  <c r="K443" i="20" s="1"/>
  <c r="L134" i="17"/>
  <c r="L132" i="17" s="1"/>
  <c r="K255" i="18"/>
  <c r="N43" i="19"/>
  <c r="N41" i="19" s="1"/>
  <c r="M122" i="19"/>
  <c r="P122" i="19" s="1"/>
  <c r="L135" i="19"/>
  <c r="O135" i="19" s="1"/>
  <c r="J143" i="19"/>
  <c r="J131" i="19" s="1"/>
  <c r="N184" i="19"/>
  <c r="O184" i="19" s="1"/>
  <c r="I233" i="19"/>
  <c r="K233" i="19" s="1"/>
  <c r="J288" i="19"/>
  <c r="J275" i="19" s="1"/>
  <c r="M318" i="19"/>
  <c r="P318" i="19" s="1"/>
  <c r="K708" i="19"/>
  <c r="K828" i="19"/>
  <c r="M12" i="20"/>
  <c r="M19" i="20"/>
  <c r="M29" i="20"/>
  <c r="M31" i="20"/>
  <c r="P31" i="20" s="1"/>
  <c r="P35" i="20"/>
  <c r="K87" i="20"/>
  <c r="J143" i="20"/>
  <c r="J131" i="20" s="1"/>
  <c r="K145" i="20"/>
  <c r="I143" i="20"/>
  <c r="M264" i="20"/>
  <c r="P264" i="20" s="1"/>
  <c r="P266" i="20"/>
  <c r="M267" i="20"/>
  <c r="P267" i="20" s="1"/>
  <c r="P269" i="20"/>
  <c r="L422" i="20"/>
  <c r="O424" i="20"/>
  <c r="L33" i="20"/>
  <c r="M59" i="19"/>
  <c r="P59" i="19" s="1"/>
  <c r="L72" i="19"/>
  <c r="O72" i="19" s="1"/>
  <c r="M267" i="19"/>
  <c r="P267" i="19" s="1"/>
  <c r="L300" i="19"/>
  <c r="O300" i="19" s="1"/>
  <c r="K355" i="19"/>
  <c r="K372" i="19"/>
  <c r="K628" i="19"/>
  <c r="L788" i="19"/>
  <c r="O788" i="19" s="1"/>
  <c r="N12" i="20"/>
  <c r="N31" i="20"/>
  <c r="L55" i="20"/>
  <c r="K100" i="20"/>
  <c r="L121" i="20"/>
  <c r="M263" i="18"/>
  <c r="M261" i="18" s="1"/>
  <c r="I86" i="19"/>
  <c r="K86" i="19" s="1"/>
  <c r="K111" i="19"/>
  <c r="L238" i="19"/>
  <c r="O238" i="19" s="1"/>
  <c r="I275" i="19"/>
  <c r="K275" i="19" s="1"/>
  <c r="J327" i="19"/>
  <c r="K327" i="19" s="1"/>
  <c r="L9" i="20"/>
  <c r="L15" i="20"/>
  <c r="I86" i="20"/>
  <c r="K86" i="20" s="1"/>
  <c r="K98" i="20"/>
  <c r="O152" i="20"/>
  <c r="K255" i="20"/>
  <c r="I248" i="20"/>
  <c r="I233" i="20"/>
  <c r="K233" i="20" s="1"/>
  <c r="O262" i="20"/>
  <c r="O346" i="20"/>
  <c r="J592" i="20"/>
  <c r="K593" i="20"/>
  <c r="L94" i="19"/>
  <c r="O94" i="19" s="1"/>
  <c r="N300" i="19"/>
  <c r="N298" i="19" s="1"/>
  <c r="N389" i="19"/>
  <c r="L405" i="19"/>
  <c r="O405" i="19" s="1"/>
  <c r="N404" i="19"/>
  <c r="N402" i="19" s="1"/>
  <c r="N23" i="20"/>
  <c r="M30" i="20"/>
  <c r="P30" i="20" s="1"/>
  <c r="L26" i="20"/>
  <c r="L24" i="20" s="1"/>
  <c r="L56" i="20"/>
  <c r="O56" i="20" s="1"/>
  <c r="O58" i="20"/>
  <c r="L122" i="20"/>
  <c r="O122" i="20" s="1"/>
  <c r="O124" i="20"/>
  <c r="M152" i="20"/>
  <c r="P152" i="20" s="1"/>
  <c r="P154" i="20"/>
  <c r="M155" i="20"/>
  <c r="P155" i="20" s="1"/>
  <c r="P157" i="20"/>
  <c r="N280" i="20"/>
  <c r="O280" i="20" s="1"/>
  <c r="O282" i="20"/>
  <c r="N318" i="20"/>
  <c r="N317" i="20"/>
  <c r="N315" i="20" s="1"/>
  <c r="L334" i="20"/>
  <c r="O334" i="20" s="1"/>
  <c r="O336" i="20"/>
  <c r="P186" i="19"/>
  <c r="K381" i="19"/>
  <c r="K647" i="19"/>
  <c r="K699" i="19"/>
  <c r="K824" i="19"/>
  <c r="M26" i="20"/>
  <c r="M34" i="20"/>
  <c r="P34" i="20" s="1"/>
  <c r="P56" i="20"/>
  <c r="P58" i="20"/>
  <c r="I76" i="20"/>
  <c r="L90" i="20"/>
  <c r="P278" i="20"/>
  <c r="P333" i="20"/>
  <c r="M330" i="20"/>
  <c r="M328" i="20" s="1"/>
  <c r="M331" i="20"/>
  <c r="P331" i="20" s="1"/>
  <c r="K438" i="20"/>
  <c r="I434" i="20"/>
  <c r="P555" i="20"/>
  <c r="M545" i="20"/>
  <c r="O329" i="20"/>
  <c r="L392" i="20"/>
  <c r="O392" i="20" s="1"/>
  <c r="O394" i="20"/>
  <c r="P421" i="20"/>
  <c r="M419" i="20"/>
  <c r="O545" i="20"/>
  <c r="K651" i="20"/>
  <c r="I628" i="20"/>
  <c r="K628" i="20" s="1"/>
  <c r="O154" i="20"/>
  <c r="O157" i="20"/>
  <c r="O266" i="20"/>
  <c r="O269" i="20"/>
  <c r="P282" i="20"/>
  <c r="P285" i="20"/>
  <c r="M334" i="20"/>
  <c r="P334" i="20" s="1"/>
  <c r="L395" i="20"/>
  <c r="O395" i="20" s="1"/>
  <c r="O397" i="20"/>
  <c r="L454" i="20"/>
  <c r="O454" i="20" s="1"/>
  <c r="N469" i="20"/>
  <c r="N470" i="20"/>
  <c r="J537" i="20"/>
  <c r="J522" i="20" s="1"/>
  <c r="K538" i="20"/>
  <c r="L547" i="20"/>
  <c r="O547" i="20" s="1"/>
  <c r="O549" i="20"/>
  <c r="K592" i="20"/>
  <c r="K723" i="20"/>
  <c r="N754" i="20"/>
  <c r="I785" i="20"/>
  <c r="K785" i="20" s="1"/>
  <c r="K800" i="20"/>
  <c r="K146" i="20"/>
  <c r="I197" i="20"/>
  <c r="K197" i="20" s="1"/>
  <c r="I297" i="20"/>
  <c r="K297" i="20" s="1"/>
  <c r="O390" i="20"/>
  <c r="M392" i="20"/>
  <c r="P392" i="20" s="1"/>
  <c r="O420" i="20"/>
  <c r="N422" i="20"/>
  <c r="O431" i="20"/>
  <c r="L446" i="20"/>
  <c r="O446" i="20" s="1"/>
  <c r="M502" i="20"/>
  <c r="P502" i="20" s="1"/>
  <c r="I559" i="20"/>
  <c r="K576" i="20"/>
  <c r="N737" i="20"/>
  <c r="P787" i="20"/>
  <c r="M786" i="20"/>
  <c r="P786" i="20" s="1"/>
  <c r="I77" i="20"/>
  <c r="M347" i="20"/>
  <c r="L348" i="20"/>
  <c r="O348" i="20" s="1"/>
  <c r="O350" i="20"/>
  <c r="M395" i="20"/>
  <c r="P395" i="20" s="1"/>
  <c r="O535" i="20"/>
  <c r="L525" i="20"/>
  <c r="M629" i="20"/>
  <c r="P629" i="20" s="1"/>
  <c r="O690" i="20"/>
  <c r="M770" i="20"/>
  <c r="P770" i="20" s="1"/>
  <c r="P806" i="20"/>
  <c r="M805" i="20"/>
  <c r="P805" i="20" s="1"/>
  <c r="K821" i="20"/>
  <c r="L331" i="20"/>
  <c r="O331" i="20" s="1"/>
  <c r="O333" i="20"/>
  <c r="L351" i="20"/>
  <c r="O351" i="20" s="1"/>
  <c r="O353" i="20"/>
  <c r="K568" i="20"/>
  <c r="N687" i="20"/>
  <c r="N685" i="20" s="1"/>
  <c r="L470" i="20"/>
  <c r="O470" i="20" s="1"/>
  <c r="L477" i="20"/>
  <c r="O477" i="20" s="1"/>
  <c r="J365" i="20"/>
  <c r="J364" i="20" s="1"/>
  <c r="K672" i="20"/>
  <c r="L688" i="20"/>
  <c r="O688" i="20" s="1"/>
  <c r="K669" i="20"/>
  <c r="L687" i="20"/>
  <c r="O69" i="19"/>
  <c r="I654" i="2"/>
  <c r="K654" i="2" s="1"/>
  <c r="N68" i="19"/>
  <c r="N66" i="19" s="1"/>
  <c r="P71" i="19"/>
  <c r="M91" i="19"/>
  <c r="K159" i="19"/>
  <c r="K215" i="19"/>
  <c r="L263" i="19"/>
  <c r="M347" i="19"/>
  <c r="M345" i="19" s="1"/>
  <c r="I364" i="19"/>
  <c r="K823" i="19"/>
  <c r="M334" i="17"/>
  <c r="P334" i="17" s="1"/>
  <c r="M43" i="19"/>
  <c r="M41" i="19" s="1"/>
  <c r="N134" i="19"/>
  <c r="N132" i="19" s="1"/>
  <c r="L171" i="19"/>
  <c r="O171" i="19" s="1"/>
  <c r="L264" i="19"/>
  <c r="M300" i="19"/>
  <c r="M298" i="19" s="1"/>
  <c r="P298" i="19" s="1"/>
  <c r="M304" i="19"/>
  <c r="P304" i="19" s="1"/>
  <c r="M317" i="19"/>
  <c r="M68" i="18"/>
  <c r="M66" i="18" s="1"/>
  <c r="L72" i="18"/>
  <c r="O72" i="18" s="1"/>
  <c r="J785" i="18"/>
  <c r="K823" i="18"/>
  <c r="M44" i="19"/>
  <c r="P44" i="19" s="1"/>
  <c r="M94" i="19"/>
  <c r="P94" i="19" s="1"/>
  <c r="I112" i="19"/>
  <c r="K112" i="19" s="1"/>
  <c r="N264" i="19"/>
  <c r="P264" i="19" s="1"/>
  <c r="P266" i="19"/>
  <c r="N330" i="19"/>
  <c r="N328" i="19" s="1"/>
  <c r="K460" i="19"/>
  <c r="I433" i="18"/>
  <c r="I417" i="18" s="1"/>
  <c r="P46" i="19"/>
  <c r="M321" i="19"/>
  <c r="P321" i="19" s="1"/>
  <c r="M334" i="19"/>
  <c r="P334" i="19" s="1"/>
  <c r="P407" i="19"/>
  <c r="P333" i="18"/>
  <c r="K370" i="18"/>
  <c r="O127" i="19"/>
  <c r="O157" i="19"/>
  <c r="K325" i="19"/>
  <c r="K360" i="19"/>
  <c r="L408" i="19"/>
  <c r="O408" i="19" s="1"/>
  <c r="K651" i="19"/>
  <c r="K822" i="19"/>
  <c r="N263" i="16"/>
  <c r="N261" i="16" s="1"/>
  <c r="J721" i="17"/>
  <c r="K721" i="17" s="1"/>
  <c r="M183" i="18"/>
  <c r="M181" i="18" s="1"/>
  <c r="M331" i="18"/>
  <c r="L347" i="18"/>
  <c r="L345" i="18" s="1"/>
  <c r="K359" i="18"/>
  <c r="L422" i="18"/>
  <c r="O422" i="18" s="1"/>
  <c r="O549" i="18"/>
  <c r="K801" i="18"/>
  <c r="P58" i="19"/>
  <c r="M69" i="19"/>
  <c r="P69" i="19" s="1"/>
  <c r="O93" i="19"/>
  <c r="K99" i="19"/>
  <c r="K144" i="19"/>
  <c r="L167" i="19"/>
  <c r="L165" i="19" s="1"/>
  <c r="M263" i="19"/>
  <c r="L267" i="19"/>
  <c r="O267" i="19" s="1"/>
  <c r="M279" i="19"/>
  <c r="P279" i="19" s="1"/>
  <c r="I297" i="19"/>
  <c r="K297" i="19" s="1"/>
  <c r="O323" i="19"/>
  <c r="N334" i="19"/>
  <c r="K374" i="19"/>
  <c r="M404" i="19"/>
  <c r="P410" i="19"/>
  <c r="O456" i="19"/>
  <c r="K462" i="19"/>
  <c r="O528" i="19"/>
  <c r="J537" i="19"/>
  <c r="J522" i="19" s="1"/>
  <c r="O641" i="19"/>
  <c r="K672" i="19"/>
  <c r="K827" i="19"/>
  <c r="M187" i="18"/>
  <c r="P187" i="18" s="1"/>
  <c r="L209" i="18"/>
  <c r="O209" i="18" s="1"/>
  <c r="N55" i="19"/>
  <c r="N53" i="19" s="1"/>
  <c r="M121" i="19"/>
  <c r="P121" i="19" s="1"/>
  <c r="P170" i="19"/>
  <c r="L217" i="19"/>
  <c r="O217" i="19" s="1"/>
  <c r="I237" i="19"/>
  <c r="K237" i="19" s="1"/>
  <c r="N279" i="19"/>
  <c r="N277" i="19" s="1"/>
  <c r="N347" i="19"/>
  <c r="N345" i="19" s="1"/>
  <c r="P353" i="19"/>
  <c r="K369" i="19"/>
  <c r="I433" i="19"/>
  <c r="I654" i="19"/>
  <c r="K673" i="19"/>
  <c r="L688" i="19"/>
  <c r="O688" i="19" s="1"/>
  <c r="O690" i="19"/>
  <c r="P264" i="18"/>
  <c r="P266" i="18"/>
  <c r="O350" i="18"/>
  <c r="K374" i="18"/>
  <c r="O56" i="19"/>
  <c r="O58" i="19"/>
  <c r="P351" i="19"/>
  <c r="J433" i="19"/>
  <c r="J417" i="19" s="1"/>
  <c r="K193" i="17"/>
  <c r="I208" i="17"/>
  <c r="K208" i="17" s="1"/>
  <c r="L231" i="17"/>
  <c r="M267" i="18"/>
  <c r="P267" i="18" s="1"/>
  <c r="L44" i="19"/>
  <c r="O44" i="19" s="1"/>
  <c r="P93" i="19"/>
  <c r="O186" i="19"/>
  <c r="L209" i="19"/>
  <c r="O209" i="19" s="1"/>
  <c r="M330" i="19"/>
  <c r="M328" i="19" s="1"/>
  <c r="K340" i="19"/>
  <c r="K362" i="19"/>
  <c r="K385" i="19"/>
  <c r="L421" i="19"/>
  <c r="O421" i="19" s="1"/>
  <c r="L525" i="19"/>
  <c r="O535" i="19"/>
  <c r="K821" i="19"/>
  <c r="N23" i="19"/>
  <c r="N21" i="19" s="1"/>
  <c r="L36" i="19"/>
  <c r="O36" i="19" s="1"/>
  <c r="M152" i="19"/>
  <c r="P152" i="19" s="1"/>
  <c r="M171" i="19"/>
  <c r="P171" i="19" s="1"/>
  <c r="K216" i="19"/>
  <c r="K244" i="19"/>
  <c r="K378" i="19"/>
  <c r="L446" i="19"/>
  <c r="O446" i="19" s="1"/>
  <c r="L546" i="19"/>
  <c r="O549" i="19"/>
  <c r="L631" i="19"/>
  <c r="L629" i="19" s="1"/>
  <c r="J721" i="19"/>
  <c r="O22" i="19"/>
  <c r="L19" i="19"/>
  <c r="L12" i="19"/>
  <c r="P35" i="19"/>
  <c r="M34" i="19"/>
  <c r="P34" i="19" s="1"/>
  <c r="O140" i="19"/>
  <c r="L134" i="19"/>
  <c r="O134" i="19" s="1"/>
  <c r="P333" i="19"/>
  <c r="M331" i="19"/>
  <c r="P331" i="19" s="1"/>
  <c r="L334" i="19"/>
  <c r="O334" i="19" s="1"/>
  <c r="O336" i="19"/>
  <c r="L657" i="2"/>
  <c r="L655" i="2" s="1"/>
  <c r="M279" i="16"/>
  <c r="N134" i="17"/>
  <c r="N132" i="17" s="1"/>
  <c r="N263" i="17"/>
  <c r="N261" i="17" s="1"/>
  <c r="M122" i="18"/>
  <c r="P122" i="18" s="1"/>
  <c r="M134" i="18"/>
  <c r="P134" i="18" s="1"/>
  <c r="P170" i="18"/>
  <c r="I190" i="18"/>
  <c r="K190" i="18" s="1"/>
  <c r="M321" i="18"/>
  <c r="P321" i="18" s="1"/>
  <c r="K340" i="18"/>
  <c r="O547" i="18"/>
  <c r="I654" i="18"/>
  <c r="K654" i="18" s="1"/>
  <c r="O660" i="18"/>
  <c r="K669" i="18"/>
  <c r="K822" i="18"/>
  <c r="L59" i="19"/>
  <c r="O59" i="19" s="1"/>
  <c r="O61" i="19"/>
  <c r="L55" i="19"/>
  <c r="L23" i="19"/>
  <c r="L21" i="19" s="1"/>
  <c r="O71" i="19"/>
  <c r="L68" i="19"/>
  <c r="O182" i="19"/>
  <c r="M55" i="18"/>
  <c r="M53" i="18" s="1"/>
  <c r="L152" i="18"/>
  <c r="O152" i="18" s="1"/>
  <c r="M155" i="18"/>
  <c r="P155" i="18" s="1"/>
  <c r="L657" i="18"/>
  <c r="M15" i="19"/>
  <c r="I76" i="19"/>
  <c r="K80" i="19"/>
  <c r="K87" i="19"/>
  <c r="P120" i="19"/>
  <c r="I130" i="19"/>
  <c r="K130" i="19" s="1"/>
  <c r="K146" i="19"/>
  <c r="L152" i="19"/>
  <c r="O152" i="19" s="1"/>
  <c r="O154" i="19"/>
  <c r="L151" i="19"/>
  <c r="O151" i="19" s="1"/>
  <c r="O91" i="17"/>
  <c r="M43" i="18"/>
  <c r="M41" i="18" s="1"/>
  <c r="P46" i="18"/>
  <c r="O173" i="18"/>
  <c r="O282" i="18"/>
  <c r="K325" i="18"/>
  <c r="K465" i="18"/>
  <c r="P301" i="16"/>
  <c r="K821" i="17"/>
  <c r="K372" i="18"/>
  <c r="I522" i="18"/>
  <c r="K522" i="18" s="1"/>
  <c r="P19" i="19"/>
  <c r="L26" i="19"/>
  <c r="M155" i="19"/>
  <c r="P155" i="19" s="1"/>
  <c r="P157" i="19"/>
  <c r="M151" i="19"/>
  <c r="K204" i="19"/>
  <c r="I197" i="19"/>
  <c r="K197" i="19" s="1"/>
  <c r="L229" i="19"/>
  <c r="L249" i="19"/>
  <c r="O249" i="19" s="1"/>
  <c r="L447" i="19"/>
  <c r="O447" i="19" s="1"/>
  <c r="O449" i="19"/>
  <c r="L33" i="19"/>
  <c r="K360" i="18"/>
  <c r="K729" i="18"/>
  <c r="P74" i="19"/>
  <c r="M68" i="19"/>
  <c r="O89" i="19"/>
  <c r="K100" i="19"/>
  <c r="N9" i="19"/>
  <c r="N26" i="19"/>
  <c r="M30" i="19"/>
  <c r="P30" i="19" s="1"/>
  <c r="P32" i="19"/>
  <c r="N34" i="19"/>
  <c r="M56" i="19"/>
  <c r="P56" i="19" s="1"/>
  <c r="M125" i="19"/>
  <c r="P125" i="19" s="1"/>
  <c r="N152" i="19"/>
  <c r="M167" i="19"/>
  <c r="O285" i="19"/>
  <c r="L283" i="19"/>
  <c r="O283" i="19" s="1"/>
  <c r="O390" i="19"/>
  <c r="L389" i="19"/>
  <c r="O389" i="19" s="1"/>
  <c r="O686" i="19"/>
  <c r="L685" i="19"/>
  <c r="O685" i="19" s="1"/>
  <c r="P771" i="19"/>
  <c r="M770" i="19"/>
  <c r="P770" i="19" s="1"/>
  <c r="M26" i="19"/>
  <c r="M24" i="19" s="1"/>
  <c r="M12" i="19"/>
  <c r="M29" i="19"/>
  <c r="L43" i="19"/>
  <c r="M55" i="19"/>
  <c r="L121" i="19"/>
  <c r="O121" i="19" s="1"/>
  <c r="N122" i="19"/>
  <c r="M134" i="19"/>
  <c r="L348" i="19"/>
  <c r="O348" i="19" s="1"/>
  <c r="O350" i="19"/>
  <c r="L347" i="19"/>
  <c r="L395" i="19"/>
  <c r="O395" i="19" s="1"/>
  <c r="O397" i="19"/>
  <c r="L477" i="19"/>
  <c r="O477" i="19" s="1"/>
  <c r="L469" i="19"/>
  <c r="O479" i="19"/>
  <c r="O806" i="19"/>
  <c r="L805" i="19"/>
  <c r="O805" i="19" s="1"/>
  <c r="N28" i="19"/>
  <c r="O170" i="19"/>
  <c r="N318" i="19"/>
  <c r="N317" i="19"/>
  <c r="N315" i="19" s="1"/>
  <c r="P350" i="19"/>
  <c r="M348" i="19"/>
  <c r="P348" i="19" s="1"/>
  <c r="L351" i="19"/>
  <c r="O351" i="19" s="1"/>
  <c r="O353" i="19"/>
  <c r="P394" i="19"/>
  <c r="M391" i="19"/>
  <c r="M392" i="19"/>
  <c r="P392" i="19" s="1"/>
  <c r="O504" i="19"/>
  <c r="L502" i="19"/>
  <c r="O502" i="19" s="1"/>
  <c r="P524" i="19"/>
  <c r="M523" i="19"/>
  <c r="P523" i="19" s="1"/>
  <c r="N631" i="19"/>
  <c r="N629" i="19" s="1"/>
  <c r="N632" i="19"/>
  <c r="P787" i="19"/>
  <c r="M786" i="19"/>
  <c r="P786" i="19" s="1"/>
  <c r="M23" i="19"/>
  <c r="P49" i="19"/>
  <c r="O67" i="19"/>
  <c r="K79" i="19"/>
  <c r="I77" i="19"/>
  <c r="L90" i="19"/>
  <c r="O124" i="19"/>
  <c r="I143" i="19"/>
  <c r="P166" i="19"/>
  <c r="L183" i="19"/>
  <c r="I190" i="19"/>
  <c r="K190" i="19" s="1"/>
  <c r="K287" i="19"/>
  <c r="L331" i="19"/>
  <c r="O331" i="19" s="1"/>
  <c r="O333" i="19"/>
  <c r="L330" i="19"/>
  <c r="P631" i="19"/>
  <c r="M629" i="19"/>
  <c r="P629" i="19" s="1"/>
  <c r="O420" i="19"/>
  <c r="N444" i="19"/>
  <c r="N414" i="19" s="1"/>
  <c r="N504" i="19"/>
  <c r="N502" i="19" s="1"/>
  <c r="N505" i="19"/>
  <c r="I260" i="19"/>
  <c r="K260" i="19" s="1"/>
  <c r="M395" i="19"/>
  <c r="P395" i="19" s="1"/>
  <c r="L632" i="19"/>
  <c r="O632" i="19" s="1"/>
  <c r="O634" i="19"/>
  <c r="K675" i="19"/>
  <c r="N754" i="19"/>
  <c r="I785" i="19"/>
  <c r="K785" i="19" s="1"/>
  <c r="K800" i="19"/>
  <c r="L422" i="19"/>
  <c r="O422" i="19" s="1"/>
  <c r="O424" i="19"/>
  <c r="P446" i="19"/>
  <c r="M444" i="19"/>
  <c r="P444" i="19" s="1"/>
  <c r="I592" i="19"/>
  <c r="K592" i="19" s="1"/>
  <c r="K593" i="19"/>
  <c r="O630" i="19"/>
  <c r="K669" i="19"/>
  <c r="J654" i="19"/>
  <c r="P686" i="19"/>
  <c r="M685" i="19"/>
  <c r="P685" i="19" s="1"/>
  <c r="P806" i="19"/>
  <c r="M805" i="19"/>
  <c r="P805" i="19" s="1"/>
  <c r="O329" i="19"/>
  <c r="O346" i="19"/>
  <c r="L392" i="19"/>
  <c r="O392" i="19" s="1"/>
  <c r="O394" i="19"/>
  <c r="P421" i="19"/>
  <c r="M419" i="19"/>
  <c r="K438" i="19"/>
  <c r="O445" i="19"/>
  <c r="I522" i="19"/>
  <c r="K522" i="19" s="1"/>
  <c r="K537" i="19"/>
  <c r="M754" i="19"/>
  <c r="P754" i="19" s="1"/>
  <c r="K365" i="19"/>
  <c r="M155" i="16"/>
  <c r="P155" i="16" s="1"/>
  <c r="N330" i="16"/>
  <c r="N328" i="16" s="1"/>
  <c r="K369" i="16"/>
  <c r="I276" i="17"/>
  <c r="K276" i="17" s="1"/>
  <c r="N300" i="17"/>
  <c r="N298" i="17" s="1"/>
  <c r="M90" i="18"/>
  <c r="M88" i="18" s="1"/>
  <c r="L94" i="18"/>
  <c r="O94" i="18" s="1"/>
  <c r="N134" i="18"/>
  <c r="N132" i="18" s="1"/>
  <c r="M152" i="18"/>
  <c r="P152" i="18" s="1"/>
  <c r="K215" i="18"/>
  <c r="L280" i="18"/>
  <c r="O280" i="18" s="1"/>
  <c r="M404" i="18"/>
  <c r="P404" i="18" s="1"/>
  <c r="P407" i="18"/>
  <c r="J433" i="18"/>
  <c r="K433" i="18" s="1"/>
  <c r="P91" i="16"/>
  <c r="O71" i="17"/>
  <c r="L228" i="17"/>
  <c r="L68" i="18"/>
  <c r="L66" i="18" s="1"/>
  <c r="K145" i="18"/>
  <c r="L230" i="18"/>
  <c r="I260" i="18"/>
  <c r="K260" i="18" s="1"/>
  <c r="M304" i="18"/>
  <c r="P304" i="18" s="1"/>
  <c r="L318" i="18"/>
  <c r="O318" i="18" s="1"/>
  <c r="K378" i="18"/>
  <c r="O410" i="18"/>
  <c r="L477" i="18"/>
  <c r="O477" i="18" s="1"/>
  <c r="L687" i="18"/>
  <c r="O687" i="18" s="1"/>
  <c r="O690" i="18"/>
  <c r="L56" i="17"/>
  <c r="L68" i="17"/>
  <c r="L66" i="17" s="1"/>
  <c r="N121" i="17"/>
  <c r="N119" i="17" s="1"/>
  <c r="M279" i="17"/>
  <c r="M277" i="17" s="1"/>
  <c r="L469" i="17"/>
  <c r="L467" i="17" s="1"/>
  <c r="M151" i="18"/>
  <c r="P151" i="18" s="1"/>
  <c r="N317" i="18"/>
  <c r="N315" i="18" s="1"/>
  <c r="O348" i="18"/>
  <c r="L395" i="18"/>
  <c r="O395" i="18" s="1"/>
  <c r="P410" i="18"/>
  <c r="K672" i="18"/>
  <c r="L209" i="16"/>
  <c r="O209" i="16" s="1"/>
  <c r="O91" i="18"/>
  <c r="M121" i="18"/>
  <c r="M119" i="18" s="1"/>
  <c r="N151" i="18"/>
  <c r="N149" i="18" s="1"/>
  <c r="J327" i="18"/>
  <c r="K327" i="18" s="1"/>
  <c r="P350" i="18"/>
  <c r="P397" i="18"/>
  <c r="L36" i="18"/>
  <c r="O36" i="18" s="1"/>
  <c r="I442" i="18"/>
  <c r="K442" i="18" s="1"/>
  <c r="K674" i="18"/>
  <c r="L422" i="12"/>
  <c r="O422" i="12" s="1"/>
  <c r="P91" i="18"/>
  <c r="L217" i="18"/>
  <c r="O217" i="18" s="1"/>
  <c r="K338" i="18"/>
  <c r="K385" i="18"/>
  <c r="K647" i="18"/>
  <c r="K824" i="18"/>
  <c r="M94" i="18"/>
  <c r="P94" i="18" s="1"/>
  <c r="L135" i="17"/>
  <c r="M267" i="17"/>
  <c r="P267" i="17" s="1"/>
  <c r="M321" i="17"/>
  <c r="P321" i="17" s="1"/>
  <c r="N55" i="18"/>
  <c r="N53" i="18" s="1"/>
  <c r="O71" i="18"/>
  <c r="I76" i="18"/>
  <c r="O93" i="18"/>
  <c r="M125" i="18"/>
  <c r="I130" i="18"/>
  <c r="K130" i="18" s="1"/>
  <c r="L138" i="18"/>
  <c r="O138" i="18" s="1"/>
  <c r="L155" i="18"/>
  <c r="O155" i="18" s="1"/>
  <c r="K593" i="18"/>
  <c r="I592" i="18"/>
  <c r="K592" i="18" s="1"/>
  <c r="J721" i="12"/>
  <c r="L43" i="13"/>
  <c r="L41" i="13" s="1"/>
  <c r="N151" i="16"/>
  <c r="N149" i="16" s="1"/>
  <c r="M300" i="16"/>
  <c r="M298" i="16" s="1"/>
  <c r="I86" i="17"/>
  <c r="K86" i="17" s="1"/>
  <c r="N135" i="17"/>
  <c r="K288" i="17"/>
  <c r="K379" i="17"/>
  <c r="L33" i="18"/>
  <c r="O49" i="18"/>
  <c r="N59" i="18"/>
  <c r="O59" i="18" s="1"/>
  <c r="L69" i="18"/>
  <c r="P93" i="18"/>
  <c r="L121" i="18"/>
  <c r="L119" i="18" s="1"/>
  <c r="L151" i="18"/>
  <c r="K159" i="18"/>
  <c r="I148" i="18"/>
  <c r="K148" i="18" s="1"/>
  <c r="P168" i="18"/>
  <c r="N167" i="18"/>
  <c r="N165" i="18" s="1"/>
  <c r="K204" i="18"/>
  <c r="K287" i="18"/>
  <c r="I276" i="18"/>
  <c r="K276" i="18" s="1"/>
  <c r="K309" i="18"/>
  <c r="O333" i="18"/>
  <c r="L331" i="18"/>
  <c r="I364" i="18"/>
  <c r="K365" i="18"/>
  <c r="N391" i="18"/>
  <c r="N389" i="18" s="1"/>
  <c r="L391" i="18"/>
  <c r="O391" i="18" s="1"/>
  <c r="O394" i="18"/>
  <c r="O528" i="18"/>
  <c r="L526" i="18"/>
  <c r="O526" i="18" s="1"/>
  <c r="L525" i="18"/>
  <c r="O525" i="18" s="1"/>
  <c r="L68" i="16"/>
  <c r="O68" i="16" s="1"/>
  <c r="N90" i="16"/>
  <c r="N88" i="16" s="1"/>
  <c r="M122" i="16"/>
  <c r="P122" i="16" s="1"/>
  <c r="L155" i="16"/>
  <c r="O155" i="16" s="1"/>
  <c r="K800" i="17"/>
  <c r="M23" i="18"/>
  <c r="M21" i="18" s="1"/>
  <c r="L26" i="18"/>
  <c r="L43" i="18"/>
  <c r="L41" i="18" s="1"/>
  <c r="L90" i="18"/>
  <c r="L88" i="18" s="1"/>
  <c r="P394" i="18"/>
  <c r="M391" i="18"/>
  <c r="K438" i="18"/>
  <c r="I434" i="18"/>
  <c r="M404" i="16"/>
  <c r="P404" i="16" s="1"/>
  <c r="N69" i="17"/>
  <c r="P69" i="17" s="1"/>
  <c r="M90" i="17"/>
  <c r="M88" i="17" s="1"/>
  <c r="K146" i="17"/>
  <c r="N56" i="18"/>
  <c r="O56" i="18" s="1"/>
  <c r="L249" i="18"/>
  <c r="O249" i="18" s="1"/>
  <c r="L279" i="18"/>
  <c r="L277" i="18" s="1"/>
  <c r="O285" i="18"/>
  <c r="O303" i="18"/>
  <c r="N304" i="18"/>
  <c r="N300" i="18"/>
  <c r="N298" i="18" s="1"/>
  <c r="L405" i="18"/>
  <c r="O405" i="18" s="1"/>
  <c r="O407" i="18"/>
  <c r="K651" i="18"/>
  <c r="I628" i="18"/>
  <c r="K628" i="18" s="1"/>
  <c r="N134" i="16"/>
  <c r="N132" i="16" s="1"/>
  <c r="N404" i="16"/>
  <c r="N402" i="16" s="1"/>
  <c r="P49" i="17"/>
  <c r="L155" i="17"/>
  <c r="O155" i="17" s="1"/>
  <c r="N317" i="17"/>
  <c r="N315" i="17" s="1"/>
  <c r="L395" i="17"/>
  <c r="O395" i="17" s="1"/>
  <c r="K649" i="17"/>
  <c r="K825" i="17"/>
  <c r="K828" i="17"/>
  <c r="P74" i="18"/>
  <c r="M135" i="18"/>
  <c r="P135" i="18" s="1"/>
  <c r="L228" i="18"/>
  <c r="L229" i="18"/>
  <c r="M283" i="18"/>
  <c r="P283" i="18" s="1"/>
  <c r="P285" i="18"/>
  <c r="L334" i="18"/>
  <c r="O334" i="18" s="1"/>
  <c r="P336" i="18"/>
  <c r="M330" i="18"/>
  <c r="M328" i="18" s="1"/>
  <c r="K369" i="18"/>
  <c r="L404" i="18"/>
  <c r="O404" i="18" s="1"/>
  <c r="L632" i="18"/>
  <c r="O632" i="18" s="1"/>
  <c r="K700" i="18"/>
  <c r="O168" i="18"/>
  <c r="K379" i="18"/>
  <c r="K675" i="18"/>
  <c r="K827" i="18"/>
  <c r="M167" i="18"/>
  <c r="M165" i="18" s="1"/>
  <c r="K208" i="18"/>
  <c r="K362" i="18"/>
  <c r="J537" i="18"/>
  <c r="J522" i="18" s="1"/>
  <c r="K828" i="18"/>
  <c r="L391" i="14"/>
  <c r="O391" i="14" s="1"/>
  <c r="N330" i="15"/>
  <c r="N328" i="15" s="1"/>
  <c r="M55" i="16"/>
  <c r="M53" i="16" s="1"/>
  <c r="M304" i="16"/>
  <c r="P304" i="16" s="1"/>
  <c r="O49" i="17"/>
  <c r="M122" i="17"/>
  <c r="P122" i="17" s="1"/>
  <c r="L125" i="17"/>
  <c r="O125" i="17" s="1"/>
  <c r="K159" i="17"/>
  <c r="L168" i="17"/>
  <c r="O168" i="17" s="1"/>
  <c r="L171" i="17"/>
  <c r="O171" i="17" s="1"/>
  <c r="I275" i="17"/>
  <c r="K275" i="17" s="1"/>
  <c r="N301" i="17"/>
  <c r="N321" i="17"/>
  <c r="L404" i="17"/>
  <c r="O404" i="17" s="1"/>
  <c r="K827" i="17"/>
  <c r="P32" i="18"/>
  <c r="M29" i="18"/>
  <c r="P67" i="18"/>
  <c r="O133" i="18"/>
  <c r="K244" i="18"/>
  <c r="I237" i="18"/>
  <c r="I233" i="18"/>
  <c r="K233" i="18" s="1"/>
  <c r="O58" i="18"/>
  <c r="L55" i="18"/>
  <c r="P71" i="18"/>
  <c r="N69" i="18"/>
  <c r="I112" i="18"/>
  <c r="K112" i="18" s="1"/>
  <c r="K115" i="18"/>
  <c r="K708" i="13"/>
  <c r="L94" i="16"/>
  <c r="O94" i="16" s="1"/>
  <c r="O189" i="16"/>
  <c r="N330" i="17"/>
  <c r="N328" i="17" s="1"/>
  <c r="N404" i="17"/>
  <c r="N402" i="17" s="1"/>
  <c r="O634" i="17"/>
  <c r="O660" i="17"/>
  <c r="O15" i="18"/>
  <c r="L23" i="18"/>
  <c r="L21" i="18" s="1"/>
  <c r="N26" i="18"/>
  <c r="O29" i="18"/>
  <c r="O54" i="18"/>
  <c r="J143" i="18"/>
  <c r="J131" i="18" s="1"/>
  <c r="K144" i="18"/>
  <c r="L135" i="18"/>
  <c r="O135" i="18" s="1"/>
  <c r="L134" i="18"/>
  <c r="O134" i="18" s="1"/>
  <c r="N183" i="18"/>
  <c r="N181" i="18" s="1"/>
  <c r="P186" i="18"/>
  <c r="M151" i="16"/>
  <c r="P151" i="16" s="1"/>
  <c r="K708" i="16"/>
  <c r="J722" i="16"/>
  <c r="I785" i="16"/>
  <c r="N29" i="18"/>
  <c r="N28" i="18" s="1"/>
  <c r="I86" i="18"/>
  <c r="K86" i="18" s="1"/>
  <c r="N90" i="18"/>
  <c r="N88" i="18" s="1"/>
  <c r="O137" i="18"/>
  <c r="M94" i="17"/>
  <c r="P94" i="17" s="1"/>
  <c r="I433" i="17"/>
  <c r="I417" i="17" s="1"/>
  <c r="P12" i="18"/>
  <c r="O22" i="18"/>
  <c r="L19" i="18"/>
  <c r="L12" i="18"/>
  <c r="P25" i="18"/>
  <c r="M15" i="18"/>
  <c r="N44" i="18"/>
  <c r="N23" i="18"/>
  <c r="N21" i="18" s="1"/>
  <c r="O46" i="18"/>
  <c r="N43" i="18"/>
  <c r="P61" i="18"/>
  <c r="O67" i="18"/>
  <c r="N68" i="18"/>
  <c r="P140" i="18"/>
  <c r="M138" i="18"/>
  <c r="P138" i="18" s="1"/>
  <c r="N125" i="18"/>
  <c r="O125" i="18" s="1"/>
  <c r="P127" i="18"/>
  <c r="O127" i="18"/>
  <c r="L47" i="16"/>
  <c r="O47" i="16" s="1"/>
  <c r="K821" i="16"/>
  <c r="K824" i="16"/>
  <c r="K827" i="16"/>
  <c r="M155" i="17"/>
  <c r="P155" i="17" s="1"/>
  <c r="M183" i="17"/>
  <c r="M181" i="17" s="1"/>
  <c r="I260" i="17"/>
  <c r="K260" i="17" s="1"/>
  <c r="K360" i="17"/>
  <c r="L657" i="17"/>
  <c r="K701" i="17"/>
  <c r="N12" i="18"/>
  <c r="K81" i="18"/>
  <c r="I77" i="18"/>
  <c r="K87" i="18"/>
  <c r="K99" i="18"/>
  <c r="J87" i="18"/>
  <c r="P150" i="18"/>
  <c r="M26" i="18"/>
  <c r="O35" i="18"/>
  <c r="P49" i="18"/>
  <c r="O61" i="18"/>
  <c r="M171" i="18"/>
  <c r="P171" i="18" s="1"/>
  <c r="O189" i="18"/>
  <c r="L187" i="18"/>
  <c r="O187" i="18" s="1"/>
  <c r="L198" i="18"/>
  <c r="O198" i="18" s="1"/>
  <c r="L267" i="18"/>
  <c r="O267" i="18" s="1"/>
  <c r="O269" i="18"/>
  <c r="O278" i="18"/>
  <c r="N351" i="18"/>
  <c r="O351" i="18" s="1"/>
  <c r="P353" i="18"/>
  <c r="N347" i="18"/>
  <c r="K176" i="18"/>
  <c r="I174" i="18"/>
  <c r="M280" i="18"/>
  <c r="P280" i="18" s="1"/>
  <c r="P282" i="18"/>
  <c r="L167" i="18"/>
  <c r="J288" i="18"/>
  <c r="J275" i="18" s="1"/>
  <c r="I275" i="18"/>
  <c r="P182" i="18"/>
  <c r="O186" i="18"/>
  <c r="L184" i="18"/>
  <c r="O184" i="18" s="1"/>
  <c r="L238" i="18"/>
  <c r="N263" i="18"/>
  <c r="L304" i="18"/>
  <c r="O304" i="18" s="1"/>
  <c r="O306" i="18"/>
  <c r="L300" i="18"/>
  <c r="P320" i="18"/>
  <c r="M317" i="18"/>
  <c r="P317" i="18" s="1"/>
  <c r="J364" i="18"/>
  <c r="N408" i="18"/>
  <c r="N404" i="18"/>
  <c r="N402" i="18" s="1"/>
  <c r="N121" i="18"/>
  <c r="O170" i="18"/>
  <c r="P184" i="18"/>
  <c r="I216" i="18"/>
  <c r="K216" i="18" s="1"/>
  <c r="N227" i="18"/>
  <c r="L264" i="18"/>
  <c r="O264" i="18" s="1"/>
  <c r="O266" i="18"/>
  <c r="N283" i="18"/>
  <c r="N279" i="18"/>
  <c r="N331" i="18"/>
  <c r="N330" i="18"/>
  <c r="O353" i="18"/>
  <c r="K381" i="18"/>
  <c r="N414" i="18"/>
  <c r="O431" i="18"/>
  <c r="L429" i="18"/>
  <c r="O429" i="18" s="1"/>
  <c r="M301" i="18"/>
  <c r="P301" i="18" s="1"/>
  <c r="L317" i="18"/>
  <c r="I443" i="18"/>
  <c r="K443" i="18" s="1"/>
  <c r="N523" i="18"/>
  <c r="M300" i="18"/>
  <c r="P300" i="18" s="1"/>
  <c r="L330" i="18"/>
  <c r="K355" i="18"/>
  <c r="L447" i="18"/>
  <c r="O447" i="18" s="1"/>
  <c r="J559" i="18"/>
  <c r="J543" i="18" s="1"/>
  <c r="K543" i="18" s="1"/>
  <c r="K576" i="18"/>
  <c r="L421" i="18"/>
  <c r="L446" i="18"/>
  <c r="L454" i="18"/>
  <c r="O454" i="18" s="1"/>
  <c r="O524" i="18"/>
  <c r="P525" i="18"/>
  <c r="L533" i="18"/>
  <c r="O533" i="18" s="1"/>
  <c r="L546" i="18"/>
  <c r="O557" i="18"/>
  <c r="O686" i="18"/>
  <c r="P687" i="18"/>
  <c r="P738" i="18"/>
  <c r="P755" i="18"/>
  <c r="P771" i="18"/>
  <c r="O787" i="18"/>
  <c r="P788" i="18"/>
  <c r="L639" i="18"/>
  <c r="O639" i="18" s="1"/>
  <c r="I785" i="18"/>
  <c r="L789" i="18"/>
  <c r="O789" i="18" s="1"/>
  <c r="M544" i="18"/>
  <c r="L631" i="18"/>
  <c r="N688" i="18"/>
  <c r="O688" i="18" s="1"/>
  <c r="L737" i="18"/>
  <c r="O737" i="18" s="1"/>
  <c r="L754" i="18"/>
  <c r="O754" i="18" s="1"/>
  <c r="L770" i="18"/>
  <c r="O770" i="18" s="1"/>
  <c r="L469" i="18"/>
  <c r="O469" i="18" s="1"/>
  <c r="K559" i="18"/>
  <c r="I314" i="17"/>
  <c r="K314" i="17" s="1"/>
  <c r="K325" i="17"/>
  <c r="P410" i="17"/>
  <c r="M408" i="17"/>
  <c r="P408" i="17" s="1"/>
  <c r="O424" i="17"/>
  <c r="L33" i="17"/>
  <c r="L31" i="17" s="1"/>
  <c r="O31" i="17" s="1"/>
  <c r="N317" i="15"/>
  <c r="N315" i="15" s="1"/>
  <c r="N331" i="15"/>
  <c r="O331" i="15" s="1"/>
  <c r="K338" i="15"/>
  <c r="L55" i="16"/>
  <c r="L53" i="16" s="1"/>
  <c r="P61" i="16"/>
  <c r="L69" i="16"/>
  <c r="O69" i="16" s="1"/>
  <c r="O71" i="16"/>
  <c r="P407" i="17"/>
  <c r="M405" i="17"/>
  <c r="P405" i="17" s="1"/>
  <c r="L229" i="14"/>
  <c r="I237" i="17"/>
  <c r="K237" i="17" s="1"/>
  <c r="K244" i="17"/>
  <c r="M404" i="17"/>
  <c r="P404" i="17" s="1"/>
  <c r="O690" i="17"/>
  <c r="L688" i="17"/>
  <c r="I260" i="15"/>
  <c r="K260" i="15" s="1"/>
  <c r="M347" i="17"/>
  <c r="M345" i="17" s="1"/>
  <c r="O74" i="16"/>
  <c r="L72" i="16"/>
  <c r="O72" i="16" s="1"/>
  <c r="M330" i="17"/>
  <c r="P333" i="17"/>
  <c r="M331" i="17"/>
  <c r="M395" i="17"/>
  <c r="P395" i="17" s="1"/>
  <c r="K385" i="13"/>
  <c r="M404" i="15"/>
  <c r="P404" i="15" s="1"/>
  <c r="O154" i="17"/>
  <c r="L152" i="17"/>
  <c r="O152" i="17" s="1"/>
  <c r="K224" i="17"/>
  <c r="I216" i="17"/>
  <c r="K216" i="17" s="1"/>
  <c r="I148" i="16"/>
  <c r="K148" i="16" s="1"/>
  <c r="L72" i="17"/>
  <c r="O72" i="17" s="1"/>
  <c r="J143" i="17"/>
  <c r="J131" i="17" s="1"/>
  <c r="K131" i="17" s="1"/>
  <c r="M187" i="17"/>
  <c r="P187" i="17" s="1"/>
  <c r="L279" i="17"/>
  <c r="L277" i="17" s="1"/>
  <c r="K338" i="17"/>
  <c r="K369" i="17"/>
  <c r="K381" i="17"/>
  <c r="M391" i="17"/>
  <c r="P391" i="17" s="1"/>
  <c r="L391" i="17"/>
  <c r="O391" i="17" s="1"/>
  <c r="K824" i="17"/>
  <c r="P44" i="17"/>
  <c r="L217" i="17"/>
  <c r="O217" i="17" s="1"/>
  <c r="L249" i="17"/>
  <c r="O249" i="17" s="1"/>
  <c r="O282" i="17"/>
  <c r="M300" i="17"/>
  <c r="P300" i="17" s="1"/>
  <c r="L318" i="17"/>
  <c r="O318" i="17" s="1"/>
  <c r="M392" i="17"/>
  <c r="P392" i="17" s="1"/>
  <c r="L547" i="17"/>
  <c r="O547" i="17" s="1"/>
  <c r="I77" i="17"/>
  <c r="I65" i="17" s="1"/>
  <c r="K65" i="17" s="1"/>
  <c r="P140" i="17"/>
  <c r="K145" i="17"/>
  <c r="L209" i="17"/>
  <c r="O209" i="17" s="1"/>
  <c r="L267" i="17"/>
  <c r="O267" i="17" s="1"/>
  <c r="L283" i="17"/>
  <c r="O283" i="17" s="1"/>
  <c r="O470" i="17"/>
  <c r="K647" i="17"/>
  <c r="K726" i="17"/>
  <c r="K700" i="16"/>
  <c r="L198" i="17"/>
  <c r="O198" i="17" s="1"/>
  <c r="J327" i="17"/>
  <c r="K327" i="17" s="1"/>
  <c r="K359" i="17"/>
  <c r="K362" i="17"/>
  <c r="K385" i="17"/>
  <c r="K723" i="17"/>
  <c r="K823" i="17"/>
  <c r="O186" i="17"/>
  <c r="L184" i="17"/>
  <c r="O184" i="17" s="1"/>
  <c r="M47" i="15"/>
  <c r="P47" i="15" s="1"/>
  <c r="N151" i="15"/>
  <c r="N149" i="15" s="1"/>
  <c r="O96" i="17"/>
  <c r="L94" i="17"/>
  <c r="O94" i="17" s="1"/>
  <c r="I628" i="17"/>
  <c r="K628" i="17" s="1"/>
  <c r="K651" i="17"/>
  <c r="P353" i="14"/>
  <c r="I297" i="15"/>
  <c r="K297" i="15" s="1"/>
  <c r="O61" i="16"/>
  <c r="L44" i="17"/>
  <c r="O44" i="17" s="1"/>
  <c r="L43" i="17"/>
  <c r="L41" i="17" s="1"/>
  <c r="M55" i="17"/>
  <c r="M56" i="17"/>
  <c r="M125" i="17"/>
  <c r="P125" i="17" s="1"/>
  <c r="I297" i="17"/>
  <c r="K297" i="17" s="1"/>
  <c r="K309" i="17"/>
  <c r="P170" i="17"/>
  <c r="M167" i="17"/>
  <c r="K462" i="17"/>
  <c r="I443" i="17"/>
  <c r="K443" i="17" s="1"/>
  <c r="M135" i="17"/>
  <c r="P137" i="17"/>
  <c r="N392" i="17"/>
  <c r="N391" i="17"/>
  <c r="N389" i="17" s="1"/>
  <c r="L477" i="6"/>
  <c r="O477" i="6" s="1"/>
  <c r="N347" i="15"/>
  <c r="N345" i="15" s="1"/>
  <c r="K370" i="15"/>
  <c r="O306" i="16"/>
  <c r="L304" i="16"/>
  <c r="O304" i="16" s="1"/>
  <c r="O266" i="17"/>
  <c r="L264" i="17"/>
  <c r="O264" i="17" s="1"/>
  <c r="L347" i="17"/>
  <c r="L345" i="17" s="1"/>
  <c r="L477" i="17"/>
  <c r="O477" i="17" s="1"/>
  <c r="O479" i="17"/>
  <c r="L36" i="17"/>
  <c r="L34" i="17" s="1"/>
  <c r="O34" i="17" s="1"/>
  <c r="J722" i="17"/>
  <c r="K722" i="17" s="1"/>
  <c r="M317" i="17"/>
  <c r="P317" i="17" s="1"/>
  <c r="P320" i="17"/>
  <c r="M318" i="17"/>
  <c r="P318" i="17" s="1"/>
  <c r="M59" i="16"/>
  <c r="P59" i="16" s="1"/>
  <c r="L657" i="16"/>
  <c r="O657" i="16" s="1"/>
  <c r="L658" i="16"/>
  <c r="K673" i="17"/>
  <c r="K672" i="17"/>
  <c r="N68" i="17"/>
  <c r="N66" i="17" s="1"/>
  <c r="P91" i="17"/>
  <c r="I112" i="17"/>
  <c r="K112" i="17" s="1"/>
  <c r="P173" i="17"/>
  <c r="P266" i="17"/>
  <c r="O285" i="17"/>
  <c r="O394" i="17"/>
  <c r="P264" i="16"/>
  <c r="K370" i="16"/>
  <c r="K559" i="16"/>
  <c r="N56" i="17"/>
  <c r="L59" i="17"/>
  <c r="O59" i="17" s="1"/>
  <c r="N72" i="17"/>
  <c r="O137" i="17"/>
  <c r="O170" i="17"/>
  <c r="I174" i="17"/>
  <c r="K174" i="17" s="1"/>
  <c r="I197" i="17"/>
  <c r="K197" i="17" s="1"/>
  <c r="L317" i="17"/>
  <c r="O317" i="17" s="1"/>
  <c r="L330" i="17"/>
  <c r="L328" i="17" s="1"/>
  <c r="K340" i="17"/>
  <c r="P282" i="16"/>
  <c r="K647" i="16"/>
  <c r="M59" i="17"/>
  <c r="P59" i="17" s="1"/>
  <c r="K111" i="17"/>
  <c r="L122" i="17"/>
  <c r="O122" i="17" s="1"/>
  <c r="M152" i="17"/>
  <c r="P152" i="17" s="1"/>
  <c r="N151" i="17"/>
  <c r="N149" i="17" s="1"/>
  <c r="P184" i="17"/>
  <c r="L187" i="17"/>
  <c r="O187" i="17" s="1"/>
  <c r="L300" i="17"/>
  <c r="O300" i="17" s="1"/>
  <c r="K372" i="17"/>
  <c r="I442" i="17"/>
  <c r="K442" i="17" s="1"/>
  <c r="O472" i="17"/>
  <c r="K720" i="17"/>
  <c r="L788" i="17"/>
  <c r="O788" i="17" s="1"/>
  <c r="K826" i="17"/>
  <c r="O303" i="16"/>
  <c r="O93" i="17"/>
  <c r="L238" i="17"/>
  <c r="O238" i="17" s="1"/>
  <c r="L122" i="16"/>
  <c r="O122" i="16" s="1"/>
  <c r="N121" i="16"/>
  <c r="N119" i="16" s="1"/>
  <c r="L229" i="16"/>
  <c r="P303" i="16"/>
  <c r="L23" i="17"/>
  <c r="L21" i="17" s="1"/>
  <c r="N122" i="17"/>
  <c r="L230" i="17"/>
  <c r="M301" i="17"/>
  <c r="P301" i="17" s="1"/>
  <c r="K370" i="17"/>
  <c r="K378" i="17"/>
  <c r="K725" i="17"/>
  <c r="K728" i="17"/>
  <c r="K822" i="17"/>
  <c r="I112" i="15"/>
  <c r="K112" i="15" s="1"/>
  <c r="K359" i="15"/>
  <c r="O186" i="16"/>
  <c r="I197" i="16"/>
  <c r="K197" i="16" s="1"/>
  <c r="L267" i="16"/>
  <c r="O267" i="16" s="1"/>
  <c r="K462" i="16"/>
  <c r="O528" i="16"/>
  <c r="L546" i="16"/>
  <c r="O546" i="16" s="1"/>
  <c r="K576" i="16"/>
  <c r="O138" i="17"/>
  <c r="M121" i="16"/>
  <c r="M119" i="16" s="1"/>
  <c r="P119" i="16" s="1"/>
  <c r="N347" i="16"/>
  <c r="N345" i="16" s="1"/>
  <c r="P350" i="16"/>
  <c r="O127" i="15"/>
  <c r="K224" i="15"/>
  <c r="P348" i="16"/>
  <c r="J364" i="16"/>
  <c r="J721" i="16"/>
  <c r="P58" i="16"/>
  <c r="K378" i="16"/>
  <c r="K381" i="16"/>
  <c r="I434" i="16"/>
  <c r="I418" i="16" s="1"/>
  <c r="K418" i="16" s="1"/>
  <c r="O479" i="16"/>
  <c r="K98" i="16"/>
  <c r="N122" i="16"/>
  <c r="M135" i="16"/>
  <c r="P135" i="16" s="1"/>
  <c r="M167" i="16"/>
  <c r="P173" i="16"/>
  <c r="I233" i="16"/>
  <c r="K233" i="16" s="1"/>
  <c r="P266" i="16"/>
  <c r="L317" i="16"/>
  <c r="L321" i="16"/>
  <c r="O321" i="16" s="1"/>
  <c r="L405" i="16"/>
  <c r="O405" i="16" s="1"/>
  <c r="L421" i="16"/>
  <c r="L419" i="16" s="1"/>
  <c r="K720" i="16"/>
  <c r="P138" i="17"/>
  <c r="M125" i="16"/>
  <c r="P125" i="16" s="1"/>
  <c r="O137" i="16"/>
  <c r="L217" i="16"/>
  <c r="O217" i="16" s="1"/>
  <c r="K374" i="16"/>
  <c r="M15" i="17"/>
  <c r="N26" i="17"/>
  <c r="N16" i="17" s="1"/>
  <c r="N14" i="17" s="1"/>
  <c r="M30" i="17"/>
  <c r="P30" i="17" s="1"/>
  <c r="P42" i="17"/>
  <c r="P54" i="17"/>
  <c r="P71" i="17"/>
  <c r="I76" i="17"/>
  <c r="M134" i="17"/>
  <c r="O140" i="17"/>
  <c r="M263" i="17"/>
  <c r="P285" i="17"/>
  <c r="M283" i="17"/>
  <c r="P283" i="17" s="1"/>
  <c r="L12" i="17"/>
  <c r="P32" i="17"/>
  <c r="M29" i="17"/>
  <c r="M43" i="17"/>
  <c r="M41" i="17" s="1"/>
  <c r="N23" i="17"/>
  <c r="P58" i="17"/>
  <c r="K79" i="17"/>
  <c r="I87" i="17"/>
  <c r="K87" i="17" s="1"/>
  <c r="L90" i="17"/>
  <c r="N167" i="17"/>
  <c r="N165" i="17" s="1"/>
  <c r="L183" i="17"/>
  <c r="L229" i="17"/>
  <c r="I233" i="17"/>
  <c r="K233" i="17" s="1"/>
  <c r="I248" i="17"/>
  <c r="N280" i="17"/>
  <c r="O280" i="17" s="1"/>
  <c r="P282" i="17"/>
  <c r="O306" i="17"/>
  <c r="L304" i="17"/>
  <c r="O304" i="17" s="1"/>
  <c r="O323" i="17"/>
  <c r="L321" i="17"/>
  <c r="O321" i="17" s="1"/>
  <c r="I364" i="17"/>
  <c r="K365" i="17"/>
  <c r="M12" i="17"/>
  <c r="M19" i="17"/>
  <c r="O29" i="17"/>
  <c r="N43" i="17"/>
  <c r="O46" i="17"/>
  <c r="K115" i="17"/>
  <c r="L121" i="17"/>
  <c r="O121" i="17" s="1"/>
  <c r="O350" i="17"/>
  <c r="N348" i="17"/>
  <c r="N347" i="17"/>
  <c r="K374" i="17"/>
  <c r="N12" i="17"/>
  <c r="L26" i="17"/>
  <c r="M31" i="17"/>
  <c r="P31" i="17" s="1"/>
  <c r="M34" i="17"/>
  <c r="P34" i="17" s="1"/>
  <c r="P46" i="17"/>
  <c r="M68" i="17"/>
  <c r="N90" i="17"/>
  <c r="K100" i="17"/>
  <c r="M121" i="17"/>
  <c r="P121" i="17" s="1"/>
  <c r="L151" i="17"/>
  <c r="N183" i="17"/>
  <c r="P262" i="17"/>
  <c r="P264" i="17"/>
  <c r="N279" i="17"/>
  <c r="P299" i="17"/>
  <c r="M304" i="17"/>
  <c r="P304" i="17" s="1"/>
  <c r="P350" i="17"/>
  <c r="I543" i="17"/>
  <c r="K543" i="17" s="1"/>
  <c r="K559" i="17"/>
  <c r="L15" i="17"/>
  <c r="M23" i="17"/>
  <c r="M26" i="17"/>
  <c r="M24" i="17" s="1"/>
  <c r="O35" i="17"/>
  <c r="O58" i="17"/>
  <c r="P74" i="17"/>
  <c r="P93" i="17"/>
  <c r="M151" i="17"/>
  <c r="P151" i="17" s="1"/>
  <c r="P186" i="17"/>
  <c r="L263" i="17"/>
  <c r="O303" i="17"/>
  <c r="L301" i="17"/>
  <c r="O301" i="17" s="1"/>
  <c r="O333" i="17"/>
  <c r="N331" i="17"/>
  <c r="P346" i="17"/>
  <c r="K355" i="17"/>
  <c r="J364" i="17"/>
  <c r="K576" i="17"/>
  <c r="J559" i="17"/>
  <c r="J543" i="17" s="1"/>
  <c r="P353" i="17"/>
  <c r="O353" i="17"/>
  <c r="N351" i="17"/>
  <c r="K577" i="17"/>
  <c r="K594" i="17"/>
  <c r="L421" i="17"/>
  <c r="L446" i="17"/>
  <c r="L631" i="17"/>
  <c r="K674" i="17"/>
  <c r="N688" i="17"/>
  <c r="N739" i="17"/>
  <c r="N737" i="17" s="1"/>
  <c r="N756" i="17"/>
  <c r="N754" i="17" s="1"/>
  <c r="N772" i="17"/>
  <c r="N770" i="17" s="1"/>
  <c r="N808" i="17"/>
  <c r="P403" i="17"/>
  <c r="L405" i="17"/>
  <c r="O405" i="17" s="1"/>
  <c r="L408" i="17"/>
  <c r="O408" i="17" s="1"/>
  <c r="O545" i="17"/>
  <c r="L555" i="17"/>
  <c r="O555" i="17" s="1"/>
  <c r="I654" i="17"/>
  <c r="K654" i="17" s="1"/>
  <c r="P656" i="17"/>
  <c r="J537" i="17"/>
  <c r="J522" i="17" s="1"/>
  <c r="M419" i="17"/>
  <c r="J433" i="17"/>
  <c r="J417" i="17" s="1"/>
  <c r="M444" i="17"/>
  <c r="P444" i="17" s="1"/>
  <c r="N469" i="17"/>
  <c r="L502" i="17"/>
  <c r="O502" i="17" s="1"/>
  <c r="L533" i="17"/>
  <c r="O533" i="17" s="1"/>
  <c r="L546" i="17"/>
  <c r="O546" i="17" s="1"/>
  <c r="K593" i="17"/>
  <c r="M629" i="17"/>
  <c r="P629" i="17" s="1"/>
  <c r="I434" i="17"/>
  <c r="L525" i="17"/>
  <c r="O525" i="17" s="1"/>
  <c r="M545" i="17"/>
  <c r="K669" i="17"/>
  <c r="L687" i="17"/>
  <c r="O687" i="17" s="1"/>
  <c r="N183" i="16"/>
  <c r="N181" i="16" s="1"/>
  <c r="N134" i="15"/>
  <c r="N132" i="15" s="1"/>
  <c r="N187" i="16"/>
  <c r="I237" i="16"/>
  <c r="K237" i="16" s="1"/>
  <c r="L230" i="16"/>
  <c r="M267" i="16"/>
  <c r="P267" i="16" s="1"/>
  <c r="L300" i="16"/>
  <c r="L298" i="16" s="1"/>
  <c r="N331" i="16"/>
  <c r="O331" i="16" s="1"/>
  <c r="O333" i="16"/>
  <c r="O348" i="16"/>
  <c r="L47" i="15"/>
  <c r="O47" i="15" s="1"/>
  <c r="N300" i="16"/>
  <c r="N298" i="16" s="1"/>
  <c r="M334" i="16"/>
  <c r="P334" i="16" s="1"/>
  <c r="N391" i="16"/>
  <c r="N389" i="16" s="1"/>
  <c r="K801" i="16"/>
  <c r="K378" i="15"/>
  <c r="K381" i="15"/>
  <c r="L56" i="16"/>
  <c r="O56" i="16" s="1"/>
  <c r="M263" i="16"/>
  <c r="I276" i="16"/>
  <c r="K276" i="16" s="1"/>
  <c r="K359" i="16"/>
  <c r="O394" i="16"/>
  <c r="J433" i="16"/>
  <c r="J417" i="16" s="1"/>
  <c r="J785" i="16"/>
  <c r="I216" i="14"/>
  <c r="K216" i="14" s="1"/>
  <c r="L26" i="16"/>
  <c r="L24" i="16" s="1"/>
  <c r="L249" i="16"/>
  <c r="O249" i="16" s="1"/>
  <c r="L330" i="16"/>
  <c r="L328" i="16" s="1"/>
  <c r="K338" i="16"/>
  <c r="O456" i="16"/>
  <c r="N300" i="15"/>
  <c r="N298" i="15" s="1"/>
  <c r="K379" i="15"/>
  <c r="K651" i="15"/>
  <c r="K824" i="15"/>
  <c r="K99" i="16"/>
  <c r="J143" i="16"/>
  <c r="J131" i="16" s="1"/>
  <c r="L198" i="16"/>
  <c r="O198" i="16" s="1"/>
  <c r="N280" i="16"/>
  <c r="O280" i="16" s="1"/>
  <c r="L283" i="16"/>
  <c r="O283" i="16" s="1"/>
  <c r="K340" i="16"/>
  <c r="K372" i="16"/>
  <c r="L404" i="16"/>
  <c r="O404" i="16" s="1"/>
  <c r="K649" i="16"/>
  <c r="L429" i="16"/>
  <c r="O429" i="16" s="1"/>
  <c r="M183" i="15"/>
  <c r="M181" i="15" s="1"/>
  <c r="K362" i="16"/>
  <c r="O431" i="16"/>
  <c r="L230" i="14"/>
  <c r="N55" i="16"/>
  <c r="N53" i="16" s="1"/>
  <c r="P93" i="16"/>
  <c r="M138" i="16"/>
  <c r="P138" i="16" s="1"/>
  <c r="K146" i="16"/>
  <c r="M152" i="16"/>
  <c r="P152" i="16" s="1"/>
  <c r="L171" i="16"/>
  <c r="O171" i="16" s="1"/>
  <c r="K176" i="16"/>
  <c r="I190" i="16"/>
  <c r="K190" i="16" s="1"/>
  <c r="L231" i="16"/>
  <c r="J355" i="16"/>
  <c r="K355" i="16" s="1"/>
  <c r="N405" i="16"/>
  <c r="L408" i="16"/>
  <c r="O408" i="16" s="1"/>
  <c r="K435" i="16"/>
  <c r="L446" i="16"/>
  <c r="O446" i="16" s="1"/>
  <c r="O472" i="16"/>
  <c r="L786" i="16"/>
  <c r="L36" i="16"/>
  <c r="O36" i="16" s="1"/>
  <c r="O170" i="16"/>
  <c r="O557" i="16"/>
  <c r="O46" i="15"/>
  <c r="L230" i="15"/>
  <c r="M392" i="15"/>
  <c r="P392" i="15" s="1"/>
  <c r="M395" i="15"/>
  <c r="P395" i="15" s="1"/>
  <c r="L33" i="16"/>
  <c r="L31" i="16" s="1"/>
  <c r="L43" i="16"/>
  <c r="L41" i="16" s="1"/>
  <c r="N23" i="16"/>
  <c r="N21" i="16" s="1"/>
  <c r="I77" i="16"/>
  <c r="I65" i="16" s="1"/>
  <c r="K65" i="16" s="1"/>
  <c r="I112" i="16"/>
  <c r="K112" i="16" s="1"/>
  <c r="O127" i="16"/>
  <c r="L183" i="16"/>
  <c r="I208" i="16"/>
  <c r="K208" i="16" s="1"/>
  <c r="L318" i="16"/>
  <c r="O318" i="16" s="1"/>
  <c r="N317" i="16"/>
  <c r="N315" i="16" s="1"/>
  <c r="M330" i="16"/>
  <c r="M328" i="16" s="1"/>
  <c r="O336" i="16"/>
  <c r="K379" i="16"/>
  <c r="P394" i="16"/>
  <c r="I433" i="16"/>
  <c r="L469" i="16"/>
  <c r="L631" i="16"/>
  <c r="O631" i="16" s="1"/>
  <c r="K822" i="16"/>
  <c r="K828" i="16"/>
  <c r="N167" i="16"/>
  <c r="N165" i="16" s="1"/>
  <c r="L152" i="16"/>
  <c r="O152" i="16" s="1"/>
  <c r="L263" i="16"/>
  <c r="L555" i="16"/>
  <c r="O555" i="16" s="1"/>
  <c r="P44" i="15"/>
  <c r="N167" i="15"/>
  <c r="N165" i="15" s="1"/>
  <c r="M134" i="16"/>
  <c r="P134" i="16" s="1"/>
  <c r="L167" i="16"/>
  <c r="L165" i="16" s="1"/>
  <c r="O266" i="16"/>
  <c r="J327" i="16"/>
  <c r="K327" i="16" s="1"/>
  <c r="O350" i="16"/>
  <c r="L391" i="16"/>
  <c r="O397" i="16"/>
  <c r="L789" i="15"/>
  <c r="O789" i="15" s="1"/>
  <c r="P351" i="16"/>
  <c r="N90" i="15"/>
  <c r="N88" i="15" s="1"/>
  <c r="L279" i="15"/>
  <c r="L277" i="15" s="1"/>
  <c r="I276" i="15"/>
  <c r="K276" i="15" s="1"/>
  <c r="K647" i="15"/>
  <c r="J722" i="15"/>
  <c r="N26" i="16"/>
  <c r="N16" i="16" s="1"/>
  <c r="N14" i="16" s="1"/>
  <c r="M56" i="16"/>
  <c r="P56" i="16" s="1"/>
  <c r="L121" i="16"/>
  <c r="O121" i="16" s="1"/>
  <c r="L151" i="16"/>
  <c r="O151" i="16" s="1"/>
  <c r="N184" i="16"/>
  <c r="P184" i="16" s="1"/>
  <c r="L238" i="16"/>
  <c r="O238" i="16" s="1"/>
  <c r="M283" i="16"/>
  <c r="P283" i="16" s="1"/>
  <c r="P320" i="16"/>
  <c r="L347" i="16"/>
  <c r="P353" i="16"/>
  <c r="K385" i="16"/>
  <c r="K438" i="16"/>
  <c r="I522" i="16"/>
  <c r="K522" i="16" s="1"/>
  <c r="O660" i="16"/>
  <c r="O791" i="16"/>
  <c r="P19" i="16"/>
  <c r="L280" i="15"/>
  <c r="L283" i="15"/>
  <c r="O283" i="15" s="1"/>
  <c r="L300" i="15"/>
  <c r="I314" i="15"/>
  <c r="K314" i="15" s="1"/>
  <c r="M330" i="15"/>
  <c r="M328" i="15" s="1"/>
  <c r="K385" i="15"/>
  <c r="L404" i="15"/>
  <c r="O404" i="15" s="1"/>
  <c r="K701" i="15"/>
  <c r="P33" i="16"/>
  <c r="M30" i="16"/>
  <c r="P30" i="16" s="1"/>
  <c r="N43" i="16"/>
  <c r="L59" i="16"/>
  <c r="O59" i="16" s="1"/>
  <c r="N68" i="16"/>
  <c r="N66" i="16" s="1"/>
  <c r="M90" i="16"/>
  <c r="P96" i="16"/>
  <c r="O269" i="14"/>
  <c r="O306" i="15"/>
  <c r="N31" i="16"/>
  <c r="N30" i="16"/>
  <c r="N28" i="16" s="1"/>
  <c r="P49" i="16"/>
  <c r="M47" i="16"/>
  <c r="P47" i="16" s="1"/>
  <c r="P74" i="16"/>
  <c r="M72" i="16"/>
  <c r="P72" i="16" s="1"/>
  <c r="P168" i="16"/>
  <c r="O168" i="16"/>
  <c r="M121" i="13"/>
  <c r="P121" i="13" s="1"/>
  <c r="M167" i="13"/>
  <c r="M165" i="13" s="1"/>
  <c r="L44" i="15"/>
  <c r="O44" i="15" s="1"/>
  <c r="N68" i="15"/>
  <c r="N66" i="15" s="1"/>
  <c r="O186" i="15"/>
  <c r="I208" i="15"/>
  <c r="K208" i="15" s="1"/>
  <c r="P264" i="15"/>
  <c r="I364" i="15"/>
  <c r="J721" i="15"/>
  <c r="M26" i="16"/>
  <c r="M24" i="16" s="1"/>
  <c r="O32" i="16"/>
  <c r="L29" i="16"/>
  <c r="L23" i="16"/>
  <c r="O58" i="16"/>
  <c r="L90" i="16"/>
  <c r="O93" i="16"/>
  <c r="O120" i="16"/>
  <c r="I164" i="16"/>
  <c r="K164" i="16" s="1"/>
  <c r="K174" i="16"/>
  <c r="L229" i="13"/>
  <c r="L547" i="13"/>
  <c r="O547" i="13" s="1"/>
  <c r="K821" i="13"/>
  <c r="M43" i="14"/>
  <c r="M41" i="14" s="1"/>
  <c r="K355" i="14"/>
  <c r="K360" i="14"/>
  <c r="N91" i="15"/>
  <c r="O91" i="15" s="1"/>
  <c r="N263" i="15"/>
  <c r="N261" i="15" s="1"/>
  <c r="M391" i="15"/>
  <c r="P391" i="15" s="1"/>
  <c r="I592" i="15"/>
  <c r="K592" i="15" s="1"/>
  <c r="I628" i="15"/>
  <c r="K628" i="15" s="1"/>
  <c r="K649" i="15"/>
  <c r="L657" i="15"/>
  <c r="O657" i="15" s="1"/>
  <c r="K822" i="15"/>
  <c r="K828" i="15"/>
  <c r="P12" i="16"/>
  <c r="N19" i="16"/>
  <c r="N12" i="16"/>
  <c r="M31" i="16"/>
  <c r="P31" i="16" s="1"/>
  <c r="P32" i="16"/>
  <c r="M29" i="16"/>
  <c r="N34" i="16"/>
  <c r="N44" i="16"/>
  <c r="O44" i="16" s="1"/>
  <c r="M23" i="16"/>
  <c r="P46" i="16"/>
  <c r="M44" i="16"/>
  <c r="P71" i="16"/>
  <c r="M69" i="16"/>
  <c r="P69" i="16" s="1"/>
  <c r="L91" i="16"/>
  <c r="O91" i="16" s="1"/>
  <c r="O25" i="16"/>
  <c r="L15" i="16"/>
  <c r="L263" i="14"/>
  <c r="L261" i="14" s="1"/>
  <c r="L68" i="15"/>
  <c r="L66" i="15" s="1"/>
  <c r="N135" i="15"/>
  <c r="P135" i="15" s="1"/>
  <c r="N152" i="15"/>
  <c r="O152" i="15" s="1"/>
  <c r="L330" i="15"/>
  <c r="L328" i="15" s="1"/>
  <c r="M347" i="15"/>
  <c r="M345" i="15" s="1"/>
  <c r="K576" i="15"/>
  <c r="J785" i="15"/>
  <c r="L19" i="16"/>
  <c r="P25" i="16"/>
  <c r="M15" i="16"/>
  <c r="M43" i="16"/>
  <c r="O46" i="16"/>
  <c r="M68" i="16"/>
  <c r="P68" i="16" s="1"/>
  <c r="I76" i="16"/>
  <c r="K80" i="16"/>
  <c r="O140" i="16"/>
  <c r="K145" i="16"/>
  <c r="I143" i="16"/>
  <c r="P154" i="16"/>
  <c r="P166" i="16"/>
  <c r="P186" i="16"/>
  <c r="I216" i="16"/>
  <c r="K216" i="16" s="1"/>
  <c r="L228" i="16"/>
  <c r="I260" i="16"/>
  <c r="K260" i="16" s="1"/>
  <c r="P278" i="16"/>
  <c r="I297" i="16"/>
  <c r="K297" i="16" s="1"/>
  <c r="P323" i="16"/>
  <c r="O422" i="16"/>
  <c r="L279" i="16"/>
  <c r="P333" i="16"/>
  <c r="I364" i="16"/>
  <c r="K365" i="16"/>
  <c r="O403" i="16"/>
  <c r="O424" i="16"/>
  <c r="N421" i="16"/>
  <c r="I442" i="16"/>
  <c r="K442" i="16" s="1"/>
  <c r="K460" i="16"/>
  <c r="K244" i="16"/>
  <c r="L351" i="16"/>
  <c r="O351" i="16" s="1"/>
  <c r="O353" i="16"/>
  <c r="K360" i="16"/>
  <c r="M405" i="16"/>
  <c r="P405" i="16" s="1"/>
  <c r="P407" i="16"/>
  <c r="J537" i="16"/>
  <c r="J522" i="16" s="1"/>
  <c r="K538" i="16"/>
  <c r="I592" i="16"/>
  <c r="K255" i="16"/>
  <c r="I248" i="16"/>
  <c r="N505" i="16"/>
  <c r="N504" i="16"/>
  <c r="N502" i="16" s="1"/>
  <c r="P170" i="16"/>
  <c r="M183" i="16"/>
  <c r="J226" i="16"/>
  <c r="J180" i="16" s="1"/>
  <c r="O262" i="16"/>
  <c r="J288" i="16"/>
  <c r="J275" i="16" s="1"/>
  <c r="O299" i="16"/>
  <c r="I314" i="16"/>
  <c r="K314" i="16" s="1"/>
  <c r="M395" i="16"/>
  <c r="P395" i="16" s="1"/>
  <c r="P397" i="16"/>
  <c r="P403" i="16"/>
  <c r="M408" i="16"/>
  <c r="P408" i="16" s="1"/>
  <c r="P410" i="16"/>
  <c r="O535" i="16"/>
  <c r="L525" i="16"/>
  <c r="J543" i="16"/>
  <c r="K543" i="16" s="1"/>
  <c r="L134" i="16"/>
  <c r="P189" i="16"/>
  <c r="O264" i="16"/>
  <c r="I275" i="16"/>
  <c r="O282" i="16"/>
  <c r="O301" i="16"/>
  <c r="M317" i="16"/>
  <c r="M347" i="16"/>
  <c r="M391" i="16"/>
  <c r="P391" i="16" s="1"/>
  <c r="P503" i="16"/>
  <c r="M502" i="16"/>
  <c r="K594" i="16"/>
  <c r="K466" i="16"/>
  <c r="J594" i="16"/>
  <c r="N658" i="16"/>
  <c r="N739" i="16"/>
  <c r="N740" i="16"/>
  <c r="N772" i="16"/>
  <c r="N770" i="16" s="1"/>
  <c r="N773" i="16"/>
  <c r="L805" i="16"/>
  <c r="O805" i="16" s="1"/>
  <c r="K823" i="16"/>
  <c r="N737" i="16"/>
  <c r="O756" i="16"/>
  <c r="L754" i="16"/>
  <c r="O754" i="16" s="1"/>
  <c r="P806" i="16"/>
  <c r="M805" i="16"/>
  <c r="P805" i="16" s="1"/>
  <c r="K628" i="16"/>
  <c r="O690" i="16"/>
  <c r="L687" i="16"/>
  <c r="L685" i="16" s="1"/>
  <c r="O685" i="16" s="1"/>
  <c r="N756" i="16"/>
  <c r="N757" i="16"/>
  <c r="N687" i="16"/>
  <c r="N685" i="16" s="1"/>
  <c r="N688" i="16"/>
  <c r="O688" i="16" s="1"/>
  <c r="L547" i="16"/>
  <c r="O547" i="16" s="1"/>
  <c r="O549" i="16"/>
  <c r="J593" i="16"/>
  <c r="J592" i="16" s="1"/>
  <c r="K651" i="16"/>
  <c r="P656" i="16"/>
  <c r="M655" i="16"/>
  <c r="P655" i="16" s="1"/>
  <c r="K675" i="16"/>
  <c r="I654" i="16"/>
  <c r="K654" i="16" s="1"/>
  <c r="K674" i="16"/>
  <c r="K673" i="16"/>
  <c r="K669" i="16"/>
  <c r="O739" i="16"/>
  <c r="L737" i="16"/>
  <c r="O737" i="16" s="1"/>
  <c r="N754" i="16"/>
  <c r="O772" i="16"/>
  <c r="L770" i="16"/>
  <c r="O770" i="16" s="1"/>
  <c r="L447" i="16"/>
  <c r="O447" i="16" s="1"/>
  <c r="M545" i="16"/>
  <c r="L632" i="16"/>
  <c r="O632" i="16" s="1"/>
  <c r="N788" i="16"/>
  <c r="L43" i="14"/>
  <c r="L41" i="14" s="1"/>
  <c r="M55" i="14"/>
  <c r="M53" i="14" s="1"/>
  <c r="L151" i="14"/>
  <c r="O151" i="14" s="1"/>
  <c r="N183" i="14"/>
  <c r="N181" i="14" s="1"/>
  <c r="L90" i="15"/>
  <c r="L88" i="15" s="1"/>
  <c r="L121" i="15"/>
  <c r="O121" i="15" s="1"/>
  <c r="L134" i="15"/>
  <c r="I148" i="15"/>
  <c r="K148" i="15" s="1"/>
  <c r="L209" i="15"/>
  <c r="O209" i="15" s="1"/>
  <c r="L217" i="15"/>
  <c r="O217" i="15" s="1"/>
  <c r="M279" i="15"/>
  <c r="M277" i="15" s="1"/>
  <c r="P306" i="15"/>
  <c r="N318" i="15"/>
  <c r="N348" i="15"/>
  <c r="P348" i="15" s="1"/>
  <c r="M351" i="15"/>
  <c r="P351" i="15" s="1"/>
  <c r="P353" i="15"/>
  <c r="K362" i="15"/>
  <c r="L33" i="15"/>
  <c r="L31" i="15" s="1"/>
  <c r="O472" i="15"/>
  <c r="K176" i="14"/>
  <c r="K649" i="14"/>
  <c r="L23" i="15"/>
  <c r="P58" i="15"/>
  <c r="L94" i="15"/>
  <c r="O94" i="15" s="1"/>
  <c r="M134" i="15"/>
  <c r="L183" i="15"/>
  <c r="L181" i="15" s="1"/>
  <c r="L198" i="15"/>
  <c r="O198" i="15" s="1"/>
  <c r="K355" i="15"/>
  <c r="I785" i="15"/>
  <c r="L138" i="14"/>
  <c r="O138" i="14" s="1"/>
  <c r="M23" i="15"/>
  <c r="M13" i="15" s="1"/>
  <c r="M11" i="15" s="1"/>
  <c r="P127" i="15"/>
  <c r="K360" i="15"/>
  <c r="K374" i="15"/>
  <c r="N391" i="15"/>
  <c r="N389" i="15" s="1"/>
  <c r="O46" i="11"/>
  <c r="M318" i="14"/>
  <c r="P318" i="14" s="1"/>
  <c r="N43" i="15"/>
  <c r="N41" i="15" s="1"/>
  <c r="P137" i="15"/>
  <c r="P140" i="9"/>
  <c r="P331" i="14"/>
  <c r="K823" i="14"/>
  <c r="K826" i="14"/>
  <c r="L229" i="15"/>
  <c r="N301" i="15"/>
  <c r="O301" i="15" s="1"/>
  <c r="K369" i="15"/>
  <c r="L408" i="15"/>
  <c r="O408" i="15" s="1"/>
  <c r="K577" i="15"/>
  <c r="I87" i="11"/>
  <c r="K87" i="11" s="1"/>
  <c r="K647" i="13"/>
  <c r="N184" i="14"/>
  <c r="P184" i="14" s="1"/>
  <c r="P186" i="14"/>
  <c r="K460" i="14"/>
  <c r="M138" i="15"/>
  <c r="P138" i="15" s="1"/>
  <c r="O168" i="15"/>
  <c r="L321" i="15"/>
  <c r="O321" i="15" s="1"/>
  <c r="O333" i="15"/>
  <c r="O350" i="15"/>
  <c r="K621" i="15"/>
  <c r="O791" i="15"/>
  <c r="K801" i="15"/>
  <c r="L94" i="14"/>
  <c r="O94" i="14" s="1"/>
  <c r="I130" i="14"/>
  <c r="K130" i="14" s="1"/>
  <c r="M135" i="14"/>
  <c r="P135" i="14" s="1"/>
  <c r="O170" i="14"/>
  <c r="K647" i="14"/>
  <c r="N23" i="15"/>
  <c r="N13" i="15" s="1"/>
  <c r="N11" i="15" s="1"/>
  <c r="L26" i="15"/>
  <c r="M43" i="15"/>
  <c r="P74" i="15"/>
  <c r="N121" i="15"/>
  <c r="N119" i="15" s="1"/>
  <c r="P140" i="15"/>
  <c r="O154" i="15"/>
  <c r="L171" i="15"/>
  <c r="O171" i="15" s="1"/>
  <c r="L184" i="15"/>
  <c r="O184" i="15" s="1"/>
  <c r="L231" i="15"/>
  <c r="O266" i="15"/>
  <c r="P285" i="15"/>
  <c r="M321" i="15"/>
  <c r="P321" i="15" s="1"/>
  <c r="P333" i="15"/>
  <c r="P350" i="15"/>
  <c r="L405" i="15"/>
  <c r="O405" i="15" s="1"/>
  <c r="K435" i="15"/>
  <c r="K537" i="15"/>
  <c r="O557" i="15"/>
  <c r="K569" i="15"/>
  <c r="L658" i="15"/>
  <c r="O658" i="15" s="1"/>
  <c r="K823" i="15"/>
  <c r="N121" i="13"/>
  <c r="N119" i="13" s="1"/>
  <c r="K86" i="14"/>
  <c r="M94" i="14"/>
  <c r="P94" i="14" s="1"/>
  <c r="P282" i="14"/>
  <c r="L55" i="15"/>
  <c r="L53" i="15" s="1"/>
  <c r="O58" i="15"/>
  <c r="L151" i="15"/>
  <c r="P154" i="15"/>
  <c r="L187" i="15"/>
  <c r="O187" i="15" s="1"/>
  <c r="P266" i="15"/>
  <c r="M317" i="15"/>
  <c r="P317" i="15" s="1"/>
  <c r="M334" i="15"/>
  <c r="P334" i="15" s="1"/>
  <c r="K340" i="15"/>
  <c r="L421" i="15"/>
  <c r="O421" i="15" s="1"/>
  <c r="K462" i="15"/>
  <c r="K561" i="15"/>
  <c r="L631" i="15"/>
  <c r="O631" i="15" s="1"/>
  <c r="I143" i="14"/>
  <c r="K143" i="14" s="1"/>
  <c r="L43" i="15"/>
  <c r="L41" i="15" s="1"/>
  <c r="M56" i="15"/>
  <c r="O124" i="15"/>
  <c r="M151" i="15"/>
  <c r="O157" i="15"/>
  <c r="N183" i="15"/>
  <c r="N181" i="15" s="1"/>
  <c r="O269" i="15"/>
  <c r="O303" i="15"/>
  <c r="O336" i="15"/>
  <c r="L526" i="15"/>
  <c r="O526" i="15" s="1"/>
  <c r="L786" i="15"/>
  <c r="P59" i="14"/>
  <c r="N68" i="14"/>
  <c r="N66" i="14" s="1"/>
  <c r="I314" i="14"/>
  <c r="K314" i="14" s="1"/>
  <c r="O333" i="14"/>
  <c r="K370" i="14"/>
  <c r="K821" i="14"/>
  <c r="K824" i="14"/>
  <c r="K827" i="14"/>
  <c r="P46" i="15"/>
  <c r="O61" i="15"/>
  <c r="I87" i="15"/>
  <c r="K87" i="15" s="1"/>
  <c r="K111" i="15"/>
  <c r="L167" i="15"/>
  <c r="O170" i="15"/>
  <c r="L238" i="15"/>
  <c r="O238" i="15" s="1"/>
  <c r="L263" i="15"/>
  <c r="L261" i="15" s="1"/>
  <c r="O264" i="15"/>
  <c r="N279" i="15"/>
  <c r="J288" i="15"/>
  <c r="J275" i="15" s="1"/>
  <c r="K275" i="15" s="1"/>
  <c r="L318" i="15"/>
  <c r="O318" i="15" s="1"/>
  <c r="J327" i="15"/>
  <c r="K327" i="15" s="1"/>
  <c r="K372" i="15"/>
  <c r="O394" i="15"/>
  <c r="N404" i="15"/>
  <c r="N402" i="15" s="1"/>
  <c r="K443" i="15"/>
  <c r="L546" i="15"/>
  <c r="O546" i="15" s="1"/>
  <c r="K620" i="15"/>
  <c r="P12" i="15"/>
  <c r="K145" i="15"/>
  <c r="I143" i="15"/>
  <c r="J143" i="15"/>
  <c r="J131" i="15" s="1"/>
  <c r="M267" i="15"/>
  <c r="P267" i="15" s="1"/>
  <c r="P269" i="15"/>
  <c r="N772" i="15"/>
  <c r="N770" i="15" s="1"/>
  <c r="N773" i="15"/>
  <c r="N33" i="15"/>
  <c r="L279" i="13"/>
  <c r="L277" i="13" s="1"/>
  <c r="I130" i="15"/>
  <c r="K130" i="15" s="1"/>
  <c r="K146" i="15"/>
  <c r="K204" i="15"/>
  <c r="L228" i="15"/>
  <c r="L249" i="15"/>
  <c r="O249" i="15" s="1"/>
  <c r="M9" i="15"/>
  <c r="O35" i="15"/>
  <c r="L29" i="15"/>
  <c r="M94" i="15"/>
  <c r="P94" i="15" s="1"/>
  <c r="P96" i="15"/>
  <c r="M90" i="15"/>
  <c r="M88" i="15" s="1"/>
  <c r="M122" i="15"/>
  <c r="P122" i="15" s="1"/>
  <c r="P124" i="15"/>
  <c r="M121" i="15"/>
  <c r="M168" i="15"/>
  <c r="P168" i="15" s="1"/>
  <c r="P170" i="15"/>
  <c r="M167" i="15"/>
  <c r="M165" i="15" s="1"/>
  <c r="L228" i="12"/>
  <c r="L300" i="12"/>
  <c r="L298" i="12" s="1"/>
  <c r="I112" i="13"/>
  <c r="K112" i="13" s="1"/>
  <c r="N151" i="14"/>
  <c r="N149" i="14" s="1"/>
  <c r="N9" i="15"/>
  <c r="O22" i="15"/>
  <c r="L19" i="15"/>
  <c r="L12" i="15"/>
  <c r="M29" i="15"/>
  <c r="P35" i="15"/>
  <c r="M34" i="15"/>
  <c r="P34" i="15" s="1"/>
  <c r="L72" i="15"/>
  <c r="O72" i="15" s="1"/>
  <c r="O74" i="15"/>
  <c r="N26" i="15"/>
  <c r="M155" i="15"/>
  <c r="P155" i="15" s="1"/>
  <c r="P157" i="15"/>
  <c r="I190" i="15"/>
  <c r="K190" i="15" s="1"/>
  <c r="M263" i="15"/>
  <c r="O299" i="15"/>
  <c r="L351" i="15"/>
  <c r="O351" i="15" s="1"/>
  <c r="O353" i="15"/>
  <c r="O479" i="15"/>
  <c r="L469" i="15"/>
  <c r="L477" i="15"/>
  <c r="O477" i="15" s="1"/>
  <c r="L36" i="15"/>
  <c r="O36" i="15" s="1"/>
  <c r="P93" i="14"/>
  <c r="N134" i="14"/>
  <c r="N132" i="14" s="1"/>
  <c r="L300" i="14"/>
  <c r="K462" i="14"/>
  <c r="I443" i="14"/>
  <c r="K443" i="14" s="1"/>
  <c r="L15" i="15"/>
  <c r="P19" i="15"/>
  <c r="M59" i="15"/>
  <c r="P59" i="15" s="1"/>
  <c r="P61" i="15"/>
  <c r="M55" i="15"/>
  <c r="M53" i="15" s="1"/>
  <c r="M68" i="15"/>
  <c r="P71" i="15"/>
  <c r="O166" i="15"/>
  <c r="P419" i="15"/>
  <c r="L231" i="13"/>
  <c r="K369" i="14"/>
  <c r="K435" i="14"/>
  <c r="I433" i="14"/>
  <c r="I417" i="14" s="1"/>
  <c r="P15" i="15"/>
  <c r="N31" i="15"/>
  <c r="P54" i="15"/>
  <c r="M69" i="15"/>
  <c r="P69" i="15" s="1"/>
  <c r="O133" i="15"/>
  <c r="P166" i="15"/>
  <c r="O262" i="15"/>
  <c r="I364" i="14"/>
  <c r="J721" i="14"/>
  <c r="N34" i="15"/>
  <c r="L135" i="15"/>
  <c r="O137" i="15"/>
  <c r="N525" i="15"/>
  <c r="N523" i="15" s="1"/>
  <c r="N526" i="15"/>
  <c r="J537" i="15"/>
  <c r="J522" i="15" s="1"/>
  <c r="K538" i="15"/>
  <c r="N657" i="15"/>
  <c r="N655" i="15" s="1"/>
  <c r="N658" i="15"/>
  <c r="K675" i="15"/>
  <c r="I654" i="15"/>
  <c r="K654" i="15" s="1"/>
  <c r="K674" i="15"/>
  <c r="K673" i="15"/>
  <c r="K669" i="15"/>
  <c r="P170" i="14"/>
  <c r="N330" i="14"/>
  <c r="N328" i="14" s="1"/>
  <c r="K379" i="14"/>
  <c r="M26" i="15"/>
  <c r="N56" i="15"/>
  <c r="O56" i="15" s="1"/>
  <c r="I86" i="15"/>
  <c r="K86" i="15" s="1"/>
  <c r="O93" i="15"/>
  <c r="M171" i="15"/>
  <c r="P171" i="15" s="1"/>
  <c r="P173" i="15"/>
  <c r="M184" i="15"/>
  <c r="P184" i="15" s="1"/>
  <c r="P186" i="15"/>
  <c r="M318" i="15"/>
  <c r="P318" i="15" s="1"/>
  <c r="P320" i="15"/>
  <c r="O403" i="15"/>
  <c r="I543" i="15"/>
  <c r="K543" i="15" s="1"/>
  <c r="K559" i="15"/>
  <c r="O656" i="15"/>
  <c r="N739" i="15"/>
  <c r="N737" i="15" s="1"/>
  <c r="N740" i="15"/>
  <c r="I76" i="15"/>
  <c r="K82" i="15"/>
  <c r="M91" i="15"/>
  <c r="P93" i="15"/>
  <c r="L138" i="15"/>
  <c r="O138" i="15" s="1"/>
  <c r="O140" i="15"/>
  <c r="O282" i="15"/>
  <c r="N280" i="15"/>
  <c r="P280" i="15" s="1"/>
  <c r="J364" i="15"/>
  <c r="K365" i="15"/>
  <c r="O449" i="15"/>
  <c r="L447" i="15"/>
  <c r="O447" i="15" s="1"/>
  <c r="L446" i="15"/>
  <c r="O446" i="15" s="1"/>
  <c r="P656" i="15"/>
  <c r="M655" i="15"/>
  <c r="P655" i="15" s="1"/>
  <c r="P350" i="14"/>
  <c r="N55" i="15"/>
  <c r="L69" i="15"/>
  <c r="O69" i="15" s="1"/>
  <c r="O71" i="15"/>
  <c r="K79" i="15"/>
  <c r="I77" i="15"/>
  <c r="O150" i="15"/>
  <c r="I174" i="15"/>
  <c r="M187" i="15"/>
  <c r="P187" i="15" s="1"/>
  <c r="P189" i="15"/>
  <c r="I233" i="15"/>
  <c r="K233" i="15" s="1"/>
  <c r="K244" i="15"/>
  <c r="I237" i="15"/>
  <c r="K255" i="15"/>
  <c r="I248" i="15"/>
  <c r="K248" i="15" s="1"/>
  <c r="P278" i="15"/>
  <c r="P282" i="15"/>
  <c r="M300" i="15"/>
  <c r="P303" i="15"/>
  <c r="L395" i="15"/>
  <c r="O395" i="15" s="1"/>
  <c r="O397" i="15"/>
  <c r="M408" i="15"/>
  <c r="P408" i="15" s="1"/>
  <c r="P410" i="15"/>
  <c r="I442" i="15"/>
  <c r="K442" i="15" s="1"/>
  <c r="K460" i="15"/>
  <c r="P403" i="15"/>
  <c r="O535" i="15"/>
  <c r="L525" i="15"/>
  <c r="O525" i="15" s="1"/>
  <c r="L547" i="15"/>
  <c r="O547" i="15" s="1"/>
  <c r="O549" i="15"/>
  <c r="O756" i="15"/>
  <c r="L754" i="15"/>
  <c r="O754" i="15" s="1"/>
  <c r="P806" i="15"/>
  <c r="M805" i="15"/>
  <c r="P805" i="15" s="1"/>
  <c r="K821" i="15"/>
  <c r="K827" i="15"/>
  <c r="N756" i="15"/>
  <c r="N754" i="15" s="1"/>
  <c r="N757" i="15"/>
  <c r="O424" i="15"/>
  <c r="L422" i="15"/>
  <c r="O422" i="15" s="1"/>
  <c r="N467" i="15"/>
  <c r="O545" i="15"/>
  <c r="O690" i="15"/>
  <c r="L687" i="15"/>
  <c r="L685" i="15" s="1"/>
  <c r="O685" i="15" s="1"/>
  <c r="L317" i="15"/>
  <c r="L347" i="15"/>
  <c r="L391" i="15"/>
  <c r="O391" i="15" s="1"/>
  <c r="P407" i="15"/>
  <c r="J433" i="15"/>
  <c r="K438" i="15"/>
  <c r="I434" i="15"/>
  <c r="P525" i="15"/>
  <c r="K594" i="15"/>
  <c r="N687" i="15"/>
  <c r="N685" i="15" s="1"/>
  <c r="N688" i="15"/>
  <c r="O688" i="15" s="1"/>
  <c r="O739" i="15"/>
  <c r="L737" i="15"/>
  <c r="O737" i="15" s="1"/>
  <c r="O772" i="15"/>
  <c r="L770" i="15"/>
  <c r="O770" i="15" s="1"/>
  <c r="M545" i="15"/>
  <c r="L632" i="15"/>
  <c r="O632" i="15" s="1"/>
  <c r="N788" i="15"/>
  <c r="O93" i="14"/>
  <c r="L91" i="14"/>
  <c r="O91" i="14" s="1"/>
  <c r="P173" i="14"/>
  <c r="M167" i="14"/>
  <c r="M165" i="14" s="1"/>
  <c r="O407" i="14"/>
  <c r="L405" i="14"/>
  <c r="O405" i="14" s="1"/>
  <c r="N44" i="14"/>
  <c r="O44" i="14" s="1"/>
  <c r="N23" i="14"/>
  <c r="N21" i="14" s="1"/>
  <c r="O137" i="14"/>
  <c r="L135" i="14"/>
  <c r="O135" i="14" s="1"/>
  <c r="N167" i="14"/>
  <c r="N165" i="14" s="1"/>
  <c r="N171" i="14"/>
  <c r="N280" i="14"/>
  <c r="O280" i="14" s="1"/>
  <c r="O282" i="14"/>
  <c r="N279" i="14"/>
  <c r="N277" i="14" s="1"/>
  <c r="J722" i="14"/>
  <c r="M55" i="13"/>
  <c r="M53" i="13" s="1"/>
  <c r="M171" i="14"/>
  <c r="P171" i="14" s="1"/>
  <c r="L318" i="14"/>
  <c r="O318" i="14" s="1"/>
  <c r="O320" i="14"/>
  <c r="K594" i="13"/>
  <c r="N263" i="14"/>
  <c r="N261" i="14" s="1"/>
  <c r="L317" i="14"/>
  <c r="O317" i="14" s="1"/>
  <c r="M72" i="14"/>
  <c r="P72" i="14" s="1"/>
  <c r="L429" i="14"/>
  <c r="O429" i="14" s="1"/>
  <c r="N90" i="14"/>
  <c r="N88" i="14" s="1"/>
  <c r="I233" i="14"/>
  <c r="K233" i="14" s="1"/>
  <c r="O301" i="14"/>
  <c r="L36" i="14"/>
  <c r="L34" i="14" s="1"/>
  <c r="O34" i="14" s="1"/>
  <c r="O59" i="14"/>
  <c r="I208" i="14"/>
  <c r="K208" i="14" s="1"/>
  <c r="I276" i="14"/>
  <c r="K276" i="14" s="1"/>
  <c r="M334" i="14"/>
  <c r="P334" i="14" s="1"/>
  <c r="N347" i="14"/>
  <c r="N345" i="14" s="1"/>
  <c r="K385" i="14"/>
  <c r="M404" i="14"/>
  <c r="P404" i="14" s="1"/>
  <c r="L33" i="14"/>
  <c r="O33" i="14" s="1"/>
  <c r="L446" i="14"/>
  <c r="O446" i="14" s="1"/>
  <c r="L788" i="14"/>
  <c r="O788" i="14" s="1"/>
  <c r="O56" i="14"/>
  <c r="L55" i="14"/>
  <c r="L53" i="14" s="1"/>
  <c r="N121" i="14"/>
  <c r="N119" i="14" s="1"/>
  <c r="M125" i="14"/>
  <c r="P125" i="14" s="1"/>
  <c r="L167" i="14"/>
  <c r="L165" i="14" s="1"/>
  <c r="L231" i="14"/>
  <c r="P264" i="14"/>
  <c r="M300" i="14"/>
  <c r="M298" i="14" s="1"/>
  <c r="M304" i="14"/>
  <c r="P304" i="14" s="1"/>
  <c r="O306" i="14"/>
  <c r="K378" i="14"/>
  <c r="N391" i="14"/>
  <c r="N389" i="14" s="1"/>
  <c r="K651" i="14"/>
  <c r="L43" i="12"/>
  <c r="L41" i="12" s="1"/>
  <c r="M68" i="12"/>
  <c r="M66" i="12" s="1"/>
  <c r="I260" i="13"/>
  <c r="K260" i="13" s="1"/>
  <c r="I314" i="13"/>
  <c r="K314" i="13" s="1"/>
  <c r="L318" i="13"/>
  <c r="O318" i="13" s="1"/>
  <c r="O410" i="13"/>
  <c r="K309" i="13"/>
  <c r="K826" i="13"/>
  <c r="O351" i="12"/>
  <c r="N134" i="11"/>
  <c r="N132" i="11" s="1"/>
  <c r="N55" i="13"/>
  <c r="N53" i="13" s="1"/>
  <c r="L68" i="13"/>
  <c r="O68" i="13" s="1"/>
  <c r="M279" i="13"/>
  <c r="M277" i="13" s="1"/>
  <c r="N347" i="13"/>
  <c r="N345" i="13" s="1"/>
  <c r="K360" i="13"/>
  <c r="J721" i="13"/>
  <c r="K721" i="13" s="1"/>
  <c r="M68" i="14"/>
  <c r="M66" i="14" s="1"/>
  <c r="M91" i="14"/>
  <c r="P91" i="14" s="1"/>
  <c r="M121" i="14"/>
  <c r="M119" i="14" s="1"/>
  <c r="P119" i="14" s="1"/>
  <c r="M134" i="14"/>
  <c r="P134" i="14" s="1"/>
  <c r="I190" i="14"/>
  <c r="K190" i="14" s="1"/>
  <c r="L198" i="14"/>
  <c r="O198" i="14" s="1"/>
  <c r="M321" i="14"/>
  <c r="P321" i="14" s="1"/>
  <c r="M348" i="14"/>
  <c r="P348" i="14" s="1"/>
  <c r="N395" i="14"/>
  <c r="O641" i="14"/>
  <c r="M280" i="14"/>
  <c r="P280" i="14" s="1"/>
  <c r="P301" i="14"/>
  <c r="P407" i="14"/>
  <c r="I522" i="14"/>
  <c r="K522" i="14" s="1"/>
  <c r="L68" i="14"/>
  <c r="L66" i="14" s="1"/>
  <c r="M90" i="14"/>
  <c r="L90" i="14"/>
  <c r="K98" i="14"/>
  <c r="L122" i="14"/>
  <c r="O122" i="14" s="1"/>
  <c r="L121" i="14"/>
  <c r="O121" i="14" s="1"/>
  <c r="L134" i="14"/>
  <c r="O134" i="14" s="1"/>
  <c r="M138" i="14"/>
  <c r="P138" i="14" s="1"/>
  <c r="L168" i="14"/>
  <c r="O168" i="14" s="1"/>
  <c r="O173" i="14"/>
  <c r="K164" i="14"/>
  <c r="K244" i="14"/>
  <c r="L249" i="14"/>
  <c r="O249" i="14" s="1"/>
  <c r="M279" i="14"/>
  <c r="M317" i="14"/>
  <c r="M315" i="14" s="1"/>
  <c r="P315" i="14" s="1"/>
  <c r="K340" i="14"/>
  <c r="M351" i="14"/>
  <c r="P351" i="14" s="1"/>
  <c r="K374" i="14"/>
  <c r="L408" i="14"/>
  <c r="O408" i="14" s="1"/>
  <c r="L632" i="14"/>
  <c r="O632" i="14" s="1"/>
  <c r="K674" i="14"/>
  <c r="L23" i="14"/>
  <c r="M26" i="14"/>
  <c r="M16" i="14" s="1"/>
  <c r="P46" i="14"/>
  <c r="N26" i="14"/>
  <c r="N16" i="14" s="1"/>
  <c r="N14" i="14" s="1"/>
  <c r="L72" i="14"/>
  <c r="O72" i="14" s="1"/>
  <c r="M168" i="14"/>
  <c r="P168" i="14" s="1"/>
  <c r="O266" i="14"/>
  <c r="P410" i="14"/>
  <c r="K99" i="14"/>
  <c r="L209" i="14"/>
  <c r="O209" i="14" s="1"/>
  <c r="L217" i="14"/>
  <c r="O217" i="14" s="1"/>
  <c r="O285" i="14"/>
  <c r="O336" i="14"/>
  <c r="L404" i="14"/>
  <c r="L657" i="14"/>
  <c r="O657" i="14" s="1"/>
  <c r="K675" i="14"/>
  <c r="K822" i="14"/>
  <c r="K825" i="14"/>
  <c r="K828" i="14"/>
  <c r="K174" i="14"/>
  <c r="K215" i="11"/>
  <c r="I208" i="11"/>
  <c r="K208" i="11" s="1"/>
  <c r="L152" i="13"/>
  <c r="O152" i="13" s="1"/>
  <c r="O154" i="13"/>
  <c r="L304" i="13"/>
  <c r="O304" i="13" s="1"/>
  <c r="O306" i="13"/>
  <c r="O12" i="14"/>
  <c r="O472" i="12"/>
  <c r="L470" i="12"/>
  <c r="O470" i="12" s="1"/>
  <c r="I276" i="13"/>
  <c r="K276" i="13" s="1"/>
  <c r="P15" i="14"/>
  <c r="O157" i="12"/>
  <c r="L155" i="12"/>
  <c r="O155" i="12" s="1"/>
  <c r="P54" i="14"/>
  <c r="I112" i="14"/>
  <c r="K112" i="14" s="1"/>
  <c r="K116" i="14"/>
  <c r="L228" i="14"/>
  <c r="L238" i="14"/>
  <c r="O25" i="14"/>
  <c r="L15" i="14"/>
  <c r="L9" i="14" s="1"/>
  <c r="L187" i="14"/>
  <c r="O187" i="14" s="1"/>
  <c r="K271" i="14"/>
  <c r="L167" i="10"/>
  <c r="L165" i="10" s="1"/>
  <c r="K309" i="10"/>
  <c r="K355" i="11"/>
  <c r="O58" i="13"/>
  <c r="P93" i="13"/>
  <c r="K116" i="13"/>
  <c r="N122" i="13"/>
  <c r="O127" i="13"/>
  <c r="N167" i="13"/>
  <c r="N165" i="13" s="1"/>
  <c r="L217" i="13"/>
  <c r="O217" i="13" s="1"/>
  <c r="I237" i="13"/>
  <c r="K237" i="13" s="1"/>
  <c r="K378" i="13"/>
  <c r="M395" i="13"/>
  <c r="P395" i="13" s="1"/>
  <c r="L404" i="13"/>
  <c r="O404" i="13" s="1"/>
  <c r="I442" i="13"/>
  <c r="K442" i="13" s="1"/>
  <c r="K822" i="13"/>
  <c r="K828" i="13"/>
  <c r="P33" i="14"/>
  <c r="M30" i="14"/>
  <c r="P49" i="14"/>
  <c r="O61" i="14"/>
  <c r="P67" i="14"/>
  <c r="O74" i="14"/>
  <c r="J87" i="14"/>
  <c r="K87" i="14" s="1"/>
  <c r="O89" i="14"/>
  <c r="O120" i="14"/>
  <c r="L152" i="14"/>
  <c r="O152" i="14" s="1"/>
  <c r="O154" i="14"/>
  <c r="K204" i="14"/>
  <c r="I197" i="14"/>
  <c r="K197" i="14" s="1"/>
  <c r="O299" i="14"/>
  <c r="N300" i="14"/>
  <c r="O316" i="14"/>
  <c r="K381" i="14"/>
  <c r="P278" i="14"/>
  <c r="L351" i="14"/>
  <c r="O351" i="14" s="1"/>
  <c r="O353" i="14"/>
  <c r="L347" i="14"/>
  <c r="I785" i="14"/>
  <c r="K785" i="14" s="1"/>
  <c r="K800" i="14"/>
  <c r="M90" i="13"/>
  <c r="M88" i="13" s="1"/>
  <c r="P22" i="14"/>
  <c r="M19" i="14"/>
  <c r="M12" i="14"/>
  <c r="O32" i="14"/>
  <c r="L29" i="14"/>
  <c r="N43" i="14"/>
  <c r="N41" i="14" s="1"/>
  <c r="P154" i="14"/>
  <c r="M151" i="14"/>
  <c r="O186" i="14"/>
  <c r="L183" i="14"/>
  <c r="O262" i="14"/>
  <c r="K365" i="14"/>
  <c r="J364" i="14"/>
  <c r="O424" i="14"/>
  <c r="L422" i="14"/>
  <c r="O422" i="14" s="1"/>
  <c r="L421" i="14"/>
  <c r="O421" i="14" s="1"/>
  <c r="O686" i="14"/>
  <c r="P771" i="14"/>
  <c r="M770" i="14"/>
  <c r="P770" i="14" s="1"/>
  <c r="P333" i="14"/>
  <c r="M330" i="14"/>
  <c r="J433" i="14"/>
  <c r="K437" i="14"/>
  <c r="O806" i="14"/>
  <c r="L805" i="14"/>
  <c r="O805" i="14" s="1"/>
  <c r="L421" i="11"/>
  <c r="L419" i="11" s="1"/>
  <c r="K381" i="12"/>
  <c r="I148" i="13"/>
  <c r="K148" i="13" s="1"/>
  <c r="K176" i="13"/>
  <c r="M267" i="13"/>
  <c r="P267" i="13" s="1"/>
  <c r="K338" i="13"/>
  <c r="K379" i="13"/>
  <c r="N404" i="13"/>
  <c r="N402" i="13" s="1"/>
  <c r="L470" i="13"/>
  <c r="O470" i="13" s="1"/>
  <c r="N9" i="14"/>
  <c r="L19" i="14"/>
  <c r="P42" i="14"/>
  <c r="M44" i="14"/>
  <c r="M23" i="14"/>
  <c r="M21" i="14" s="1"/>
  <c r="P58" i="14"/>
  <c r="M56" i="14"/>
  <c r="P56" i="14" s="1"/>
  <c r="N69" i="14"/>
  <c r="P71" i="14"/>
  <c r="M152" i="14"/>
  <c r="P152" i="14" s="1"/>
  <c r="P157" i="14"/>
  <c r="M155" i="14"/>
  <c r="P155" i="14" s="1"/>
  <c r="L184" i="14"/>
  <c r="N227" i="14"/>
  <c r="I248" i="14"/>
  <c r="K255" i="14"/>
  <c r="P262" i="14"/>
  <c r="K309" i="14"/>
  <c r="M419" i="14"/>
  <c r="P421" i="14"/>
  <c r="I77" i="14"/>
  <c r="K81" i="14"/>
  <c r="K824" i="13"/>
  <c r="K78" i="14"/>
  <c r="I76" i="14"/>
  <c r="P189" i="14"/>
  <c r="M183" i="14"/>
  <c r="M395" i="14"/>
  <c r="P395" i="14" s="1"/>
  <c r="P788" i="14"/>
  <c r="M786" i="14"/>
  <c r="P786" i="14" s="1"/>
  <c r="K362" i="11"/>
  <c r="M72" i="13"/>
  <c r="P72" i="13" s="1"/>
  <c r="P140" i="13"/>
  <c r="O170" i="13"/>
  <c r="P189" i="13"/>
  <c r="M318" i="13"/>
  <c r="P318" i="13" s="1"/>
  <c r="L26" i="14"/>
  <c r="N55" i="14"/>
  <c r="O71" i="14"/>
  <c r="O166" i="14"/>
  <c r="O278" i="14"/>
  <c r="O303" i="14"/>
  <c r="L321" i="14"/>
  <c r="O321" i="14" s="1"/>
  <c r="O46" i="14"/>
  <c r="O49" i="14"/>
  <c r="O58" i="14"/>
  <c r="L125" i="14"/>
  <c r="O125" i="14" s="1"/>
  <c r="J143" i="14"/>
  <c r="J131" i="14" s="1"/>
  <c r="I148" i="14"/>
  <c r="K148" i="14" s="1"/>
  <c r="O157" i="14"/>
  <c r="L264" i="14"/>
  <c r="O264" i="14" s="1"/>
  <c r="M267" i="14"/>
  <c r="P267" i="14" s="1"/>
  <c r="I275" i="14"/>
  <c r="M283" i="14"/>
  <c r="P283" i="14" s="1"/>
  <c r="K338" i="14"/>
  <c r="J327" i="14"/>
  <c r="K327" i="14" s="1"/>
  <c r="I434" i="14"/>
  <c r="K438" i="14"/>
  <c r="I559" i="14"/>
  <c r="K576" i="14"/>
  <c r="K593" i="14"/>
  <c r="P630" i="14"/>
  <c r="M629" i="14"/>
  <c r="P629" i="14" s="1"/>
  <c r="N321" i="14"/>
  <c r="N317" i="14"/>
  <c r="N315" i="14" s="1"/>
  <c r="O394" i="14"/>
  <c r="L392" i="14"/>
  <c r="O392" i="14" s="1"/>
  <c r="N405" i="14"/>
  <c r="N404" i="14"/>
  <c r="N402" i="14" s="1"/>
  <c r="M122" i="14"/>
  <c r="P122" i="14" s="1"/>
  <c r="P266" i="14"/>
  <c r="L279" i="14"/>
  <c r="J288" i="14"/>
  <c r="J275" i="14" s="1"/>
  <c r="M347" i="14"/>
  <c r="K372" i="14"/>
  <c r="M391" i="14"/>
  <c r="M392" i="14"/>
  <c r="P392" i="14" s="1"/>
  <c r="P61" i="14"/>
  <c r="M263" i="14"/>
  <c r="P303" i="14"/>
  <c r="L331" i="14"/>
  <c r="O331" i="14" s="1"/>
  <c r="L330" i="14"/>
  <c r="O350" i="14"/>
  <c r="O397" i="14"/>
  <c r="L395" i="14"/>
  <c r="O395" i="14" s="1"/>
  <c r="O449" i="14"/>
  <c r="L447" i="14"/>
  <c r="O447" i="14" s="1"/>
  <c r="N502" i="14"/>
  <c r="N414" i="14" s="1"/>
  <c r="J537" i="14"/>
  <c r="J522" i="14" s="1"/>
  <c r="K538" i="14"/>
  <c r="L555" i="14"/>
  <c r="O555" i="14" s="1"/>
  <c r="L546" i="14"/>
  <c r="O546" i="14" s="1"/>
  <c r="O557" i="14"/>
  <c r="K594" i="14"/>
  <c r="N685" i="14"/>
  <c r="P755" i="14"/>
  <c r="M754" i="14"/>
  <c r="P754" i="14" s="1"/>
  <c r="O787" i="14"/>
  <c r="O545" i="14"/>
  <c r="N544" i="14"/>
  <c r="P555" i="14"/>
  <c r="M545" i="14"/>
  <c r="P687" i="14"/>
  <c r="M685" i="14"/>
  <c r="P685" i="14" s="1"/>
  <c r="P738" i="14"/>
  <c r="M737" i="14"/>
  <c r="P737" i="14" s="1"/>
  <c r="O348" i="14"/>
  <c r="O479" i="14"/>
  <c r="L469" i="14"/>
  <c r="L477" i="14"/>
  <c r="O477" i="14" s="1"/>
  <c r="L533" i="14"/>
  <c r="O533" i="14" s="1"/>
  <c r="O535" i="14"/>
  <c r="L525" i="14"/>
  <c r="O525" i="14" s="1"/>
  <c r="O547" i="14"/>
  <c r="K592" i="14"/>
  <c r="N631" i="14"/>
  <c r="N629" i="14" s="1"/>
  <c r="P807" i="14"/>
  <c r="M805" i="14"/>
  <c r="P805" i="14" s="1"/>
  <c r="O549" i="14"/>
  <c r="I654" i="14"/>
  <c r="K654" i="14" s="1"/>
  <c r="L658" i="14"/>
  <c r="O658" i="14" s="1"/>
  <c r="O791" i="14"/>
  <c r="I628" i="14"/>
  <c r="K628" i="14" s="1"/>
  <c r="N505" i="14"/>
  <c r="L631" i="14"/>
  <c r="K672" i="14"/>
  <c r="L688" i="14"/>
  <c r="O688" i="14" s="1"/>
  <c r="K669" i="14"/>
  <c r="L687" i="14"/>
  <c r="O687" i="14" s="1"/>
  <c r="M68" i="11"/>
  <c r="M66" i="11" s="1"/>
  <c r="N68" i="12"/>
  <c r="N66" i="12" s="1"/>
  <c r="I148" i="12"/>
  <c r="K148" i="12" s="1"/>
  <c r="M155" i="12"/>
  <c r="P155" i="12" s="1"/>
  <c r="L263" i="12"/>
  <c r="L261" i="12" s="1"/>
  <c r="P280" i="12"/>
  <c r="K325" i="12"/>
  <c r="I442" i="12"/>
  <c r="K442" i="12" s="1"/>
  <c r="N90" i="13"/>
  <c r="N88" i="13" s="1"/>
  <c r="M138" i="13"/>
  <c r="P138" i="13" s="1"/>
  <c r="K215" i="13"/>
  <c r="I233" i="13"/>
  <c r="K233" i="13" s="1"/>
  <c r="O269" i="13"/>
  <c r="M408" i="13"/>
  <c r="P408" i="13" s="1"/>
  <c r="O431" i="13"/>
  <c r="J722" i="13"/>
  <c r="K722" i="13" s="1"/>
  <c r="M43" i="13"/>
  <c r="M41" i="13" s="1"/>
  <c r="L94" i="13"/>
  <c r="O94" i="13" s="1"/>
  <c r="L230" i="13"/>
  <c r="M404" i="13"/>
  <c r="P404" i="13" s="1"/>
  <c r="O634" i="13"/>
  <c r="M263" i="12"/>
  <c r="M261" i="12" s="1"/>
  <c r="N279" i="12"/>
  <c r="N277" i="12" s="1"/>
  <c r="M68" i="13"/>
  <c r="P68" i="13" s="1"/>
  <c r="M183" i="13"/>
  <c r="M181" i="13" s="1"/>
  <c r="K255" i="13"/>
  <c r="M304" i="13"/>
  <c r="P304" i="13" s="1"/>
  <c r="J364" i="13"/>
  <c r="L391" i="13"/>
  <c r="L405" i="13"/>
  <c r="O405" i="13" s="1"/>
  <c r="I434" i="13"/>
  <c r="I418" i="13" s="1"/>
  <c r="K418" i="13" s="1"/>
  <c r="L33" i="13"/>
  <c r="O33" i="13" s="1"/>
  <c r="K569" i="13"/>
  <c r="L264" i="12"/>
  <c r="O264" i="12" s="1"/>
  <c r="M47" i="13"/>
  <c r="P47" i="13" s="1"/>
  <c r="P49" i="13"/>
  <c r="M69" i="13"/>
  <c r="P69" i="13" s="1"/>
  <c r="L198" i="13"/>
  <c r="O198" i="13" s="1"/>
  <c r="P282" i="13"/>
  <c r="K374" i="13"/>
  <c r="L392" i="13"/>
  <c r="O392" i="13" s="1"/>
  <c r="M405" i="13"/>
  <c r="P405" i="13" s="1"/>
  <c r="L469" i="13"/>
  <c r="O469" i="13" s="1"/>
  <c r="K537" i="13"/>
  <c r="L249" i="12"/>
  <c r="O249" i="12" s="1"/>
  <c r="I77" i="13"/>
  <c r="I65" i="13" s="1"/>
  <c r="K65" i="13" s="1"/>
  <c r="L90" i="13"/>
  <c r="L88" i="13" s="1"/>
  <c r="M134" i="13"/>
  <c r="M132" i="13" s="1"/>
  <c r="N183" i="13"/>
  <c r="N181" i="13" s="1"/>
  <c r="N317" i="13"/>
  <c r="N315" i="13" s="1"/>
  <c r="P348" i="13"/>
  <c r="K359" i="13"/>
  <c r="O407" i="13"/>
  <c r="L421" i="13"/>
  <c r="O421" i="13" s="1"/>
  <c r="J537" i="13"/>
  <c r="J522" i="13" s="1"/>
  <c r="K561" i="13"/>
  <c r="J785" i="13"/>
  <c r="L279" i="6"/>
  <c r="L277" i="6" s="1"/>
  <c r="L229" i="12"/>
  <c r="J722" i="12"/>
  <c r="O46" i="13"/>
  <c r="N56" i="13"/>
  <c r="O56" i="13" s="1"/>
  <c r="N69" i="13"/>
  <c r="N68" i="13"/>
  <c r="N66" i="13" s="1"/>
  <c r="K81" i="13"/>
  <c r="O93" i="13"/>
  <c r="L91" i="13"/>
  <c r="O91" i="13" s="1"/>
  <c r="L122" i="13"/>
  <c r="O122" i="13" s="1"/>
  <c r="O137" i="13"/>
  <c r="L134" i="13"/>
  <c r="L132" i="13" s="1"/>
  <c r="M168" i="13"/>
  <c r="P168" i="13" s="1"/>
  <c r="I190" i="13"/>
  <c r="K190" i="13" s="1"/>
  <c r="O285" i="13"/>
  <c r="N351" i="13"/>
  <c r="P351" i="13" s="1"/>
  <c r="K355" i="13"/>
  <c r="L631" i="13"/>
  <c r="O641" i="13"/>
  <c r="N280" i="13"/>
  <c r="P280" i="13" s="1"/>
  <c r="I148" i="11"/>
  <c r="K148" i="11" s="1"/>
  <c r="K99" i="12"/>
  <c r="J143" i="12"/>
  <c r="J131" i="12" s="1"/>
  <c r="K224" i="12"/>
  <c r="L304" i="12"/>
  <c r="O304" i="12" s="1"/>
  <c r="M405" i="12"/>
  <c r="P405" i="12" s="1"/>
  <c r="K111" i="13"/>
  <c r="N134" i="13"/>
  <c r="N132" i="13" s="1"/>
  <c r="O140" i="13"/>
  <c r="M155" i="13"/>
  <c r="P155" i="13" s="1"/>
  <c r="P170" i="13"/>
  <c r="M317" i="13"/>
  <c r="M315" i="13" s="1"/>
  <c r="P315" i="13" s="1"/>
  <c r="L347" i="13"/>
  <c r="O350" i="13"/>
  <c r="L348" i="13"/>
  <c r="O348" i="13" s="1"/>
  <c r="K365" i="13"/>
  <c r="I364" i="13"/>
  <c r="K370" i="13"/>
  <c r="K823" i="13"/>
  <c r="L72" i="12"/>
  <c r="O72" i="12" s="1"/>
  <c r="N44" i="13"/>
  <c r="P44" i="13" s="1"/>
  <c r="N43" i="13"/>
  <c r="N41" i="13" s="1"/>
  <c r="L55" i="13"/>
  <c r="O61" i="13"/>
  <c r="L121" i="13"/>
  <c r="O121" i="13" s="1"/>
  <c r="L238" i="13"/>
  <c r="P323" i="13"/>
  <c r="M321" i="13"/>
  <c r="P321" i="13" s="1"/>
  <c r="O791" i="13"/>
  <c r="L788" i="13"/>
  <c r="I785" i="13"/>
  <c r="K801" i="13"/>
  <c r="O173" i="13"/>
  <c r="L171" i="13"/>
  <c r="O171" i="13" s="1"/>
  <c r="M347" i="12"/>
  <c r="M345" i="12" s="1"/>
  <c r="O791" i="12"/>
  <c r="L788" i="12"/>
  <c r="L786" i="12" s="1"/>
  <c r="O786" i="12" s="1"/>
  <c r="L36" i="13"/>
  <c r="O36" i="13" s="1"/>
  <c r="P46" i="13"/>
  <c r="I76" i="13"/>
  <c r="I64" i="13" s="1"/>
  <c r="K64" i="13" s="1"/>
  <c r="P137" i="13"/>
  <c r="L167" i="13"/>
  <c r="O184" i="13"/>
  <c r="L209" i="13"/>
  <c r="O209" i="13" s="1"/>
  <c r="L228" i="13"/>
  <c r="L280" i="13"/>
  <c r="O282" i="13"/>
  <c r="P303" i="13"/>
  <c r="M301" i="13"/>
  <c r="P301" i="13" s="1"/>
  <c r="N318" i="13"/>
  <c r="L526" i="13"/>
  <c r="O526" i="13" s="1"/>
  <c r="L525" i="13"/>
  <c r="O525" i="13" s="1"/>
  <c r="O528" i="13"/>
  <c r="K720" i="12"/>
  <c r="M151" i="13"/>
  <c r="M149" i="13" s="1"/>
  <c r="L155" i="13"/>
  <c r="O155" i="13" s="1"/>
  <c r="L151" i="13"/>
  <c r="N279" i="13"/>
  <c r="N277" i="13" s="1"/>
  <c r="N331" i="13"/>
  <c r="P331" i="13" s="1"/>
  <c r="N330" i="13"/>
  <c r="N328" i="13" s="1"/>
  <c r="O186" i="13"/>
  <c r="L317" i="13"/>
  <c r="O317" i="13" s="1"/>
  <c r="K381" i="13"/>
  <c r="K577" i="13"/>
  <c r="K723" i="13"/>
  <c r="K649" i="13"/>
  <c r="J327" i="13"/>
  <c r="K327" i="13" s="1"/>
  <c r="O353" i="13"/>
  <c r="K462" i="13"/>
  <c r="K620" i="13"/>
  <c r="K827" i="13"/>
  <c r="L330" i="13"/>
  <c r="K340" i="13"/>
  <c r="P353" i="13"/>
  <c r="K362" i="13"/>
  <c r="K372" i="13"/>
  <c r="K725" i="13"/>
  <c r="K825" i="13"/>
  <c r="J722" i="8"/>
  <c r="K722" i="8" s="1"/>
  <c r="L68" i="9"/>
  <c r="L66" i="9" s="1"/>
  <c r="M263" i="9"/>
  <c r="M261" i="9" s="1"/>
  <c r="L657" i="11"/>
  <c r="O657" i="11" s="1"/>
  <c r="O59" i="12"/>
  <c r="N151" i="12"/>
  <c r="N149" i="12" s="1"/>
  <c r="M183" i="12"/>
  <c r="M181" i="12" s="1"/>
  <c r="K204" i="12"/>
  <c r="L209" i="12"/>
  <c r="O209" i="12" s="1"/>
  <c r="K255" i="12"/>
  <c r="M334" i="12"/>
  <c r="P334" i="12" s="1"/>
  <c r="K370" i="12"/>
  <c r="K378" i="12"/>
  <c r="O394" i="12"/>
  <c r="I559" i="12"/>
  <c r="I543" i="12" s="1"/>
  <c r="K543" i="12" s="1"/>
  <c r="N26" i="13"/>
  <c r="N16" i="13" s="1"/>
  <c r="O120" i="13"/>
  <c r="N263" i="13"/>
  <c r="N261" i="13" s="1"/>
  <c r="I76" i="11"/>
  <c r="K76" i="11" s="1"/>
  <c r="M122" i="12"/>
  <c r="P122" i="12" s="1"/>
  <c r="K379" i="12"/>
  <c r="K708" i="12"/>
  <c r="M122" i="13"/>
  <c r="P122" i="13" s="1"/>
  <c r="P124" i="13"/>
  <c r="P135" i="13"/>
  <c r="K98" i="11"/>
  <c r="L55" i="12"/>
  <c r="L53" i="12" s="1"/>
  <c r="K359" i="12"/>
  <c r="K362" i="12"/>
  <c r="O54" i="13"/>
  <c r="M56" i="13"/>
  <c r="P58" i="13"/>
  <c r="M23" i="13"/>
  <c r="M405" i="11"/>
  <c r="P405" i="11" s="1"/>
  <c r="P22" i="13"/>
  <c r="M19" i="13"/>
  <c r="M12" i="13"/>
  <c r="N15" i="13"/>
  <c r="K164" i="13"/>
  <c r="K224" i="13"/>
  <c r="I216" i="13"/>
  <c r="K216" i="13" s="1"/>
  <c r="L301" i="13"/>
  <c r="O301" i="13" s="1"/>
  <c r="O303" i="13"/>
  <c r="L300" i="13"/>
  <c r="N167" i="12"/>
  <c r="N165" i="12" s="1"/>
  <c r="P351" i="12"/>
  <c r="O557" i="12"/>
  <c r="K594" i="12"/>
  <c r="P15" i="13"/>
  <c r="N29" i="13"/>
  <c r="N28" i="13" s="1"/>
  <c r="N31" i="13"/>
  <c r="I86" i="13"/>
  <c r="K86" i="13" s="1"/>
  <c r="K98" i="13"/>
  <c r="M125" i="13"/>
  <c r="P125" i="13" s="1"/>
  <c r="P127" i="13"/>
  <c r="K248" i="13"/>
  <c r="L264" i="13"/>
  <c r="O266" i="13"/>
  <c r="L263" i="13"/>
  <c r="P299" i="13"/>
  <c r="L391" i="11"/>
  <c r="O391" i="11" s="1"/>
  <c r="N43" i="12"/>
  <c r="N41" i="12" s="1"/>
  <c r="N183" i="12"/>
  <c r="N181" i="12" s="1"/>
  <c r="K215" i="12"/>
  <c r="L267" i="12"/>
  <c r="O267" i="12" s="1"/>
  <c r="L23" i="13"/>
  <c r="M59" i="13"/>
  <c r="P59" i="13" s="1"/>
  <c r="M26" i="13"/>
  <c r="P61" i="13"/>
  <c r="J143" i="13"/>
  <c r="J131" i="13" s="1"/>
  <c r="K145" i="13"/>
  <c r="I143" i="13"/>
  <c r="N152" i="13"/>
  <c r="P152" i="13" s="1"/>
  <c r="N151" i="13"/>
  <c r="N23" i="13"/>
  <c r="J164" i="13"/>
  <c r="K174" i="13"/>
  <c r="N227" i="13"/>
  <c r="P262" i="13"/>
  <c r="N300" i="13"/>
  <c r="N298" i="13" s="1"/>
  <c r="L446" i="13"/>
  <c r="O446" i="13" s="1"/>
  <c r="L44" i="13"/>
  <c r="L47" i="13"/>
  <c r="O47" i="13" s="1"/>
  <c r="L69" i="13"/>
  <c r="O69" i="13" s="1"/>
  <c r="L72" i="13"/>
  <c r="O72" i="13" s="1"/>
  <c r="M91" i="13"/>
  <c r="P91" i="13" s="1"/>
  <c r="M94" i="13"/>
  <c r="P94" i="13" s="1"/>
  <c r="L135" i="13"/>
  <c r="O135" i="13" s="1"/>
  <c r="L138" i="13"/>
  <c r="O138" i="13" s="1"/>
  <c r="N264" i="13"/>
  <c r="P264" i="13" s="1"/>
  <c r="P266" i="13"/>
  <c r="N301" i="13"/>
  <c r="K369" i="13"/>
  <c r="P445" i="13"/>
  <c r="M444" i="13"/>
  <c r="P444" i="13" s="1"/>
  <c r="O403" i="13"/>
  <c r="O456" i="13"/>
  <c r="L26" i="13"/>
  <c r="M28" i="13"/>
  <c r="P28" i="13" s="1"/>
  <c r="M34" i="13"/>
  <c r="P34" i="13" s="1"/>
  <c r="N47" i="13"/>
  <c r="M171" i="13"/>
  <c r="P171" i="13" s="1"/>
  <c r="M184" i="13"/>
  <c r="P184" i="13" s="1"/>
  <c r="K204" i="13"/>
  <c r="I197" i="13"/>
  <c r="K197" i="13" s="1"/>
  <c r="L249" i="13"/>
  <c r="O249" i="13" s="1"/>
  <c r="M263" i="13"/>
  <c r="J288" i="13"/>
  <c r="J275" i="13" s="1"/>
  <c r="M300" i="13"/>
  <c r="P300" i="13" s="1"/>
  <c r="L321" i="13"/>
  <c r="O321" i="13" s="1"/>
  <c r="P420" i="13"/>
  <c r="M419" i="13"/>
  <c r="L12" i="13"/>
  <c r="L19" i="13"/>
  <c r="I130" i="13"/>
  <c r="K130" i="13" s="1"/>
  <c r="L183" i="13"/>
  <c r="P186" i="13"/>
  <c r="I275" i="13"/>
  <c r="O333" i="13"/>
  <c r="P394" i="13"/>
  <c r="M391" i="13"/>
  <c r="O503" i="13"/>
  <c r="L502" i="13"/>
  <c r="O502" i="13" s="1"/>
  <c r="J592" i="13"/>
  <c r="K592" i="13" s="1"/>
  <c r="K593" i="13"/>
  <c r="P154" i="13"/>
  <c r="O157" i="13"/>
  <c r="O166" i="13"/>
  <c r="L168" i="13"/>
  <c r="O168" i="13" s="1"/>
  <c r="L187" i="13"/>
  <c r="O187" i="13" s="1"/>
  <c r="P285" i="13"/>
  <c r="L334" i="13"/>
  <c r="O334" i="13" s="1"/>
  <c r="P336" i="13"/>
  <c r="M330" i="13"/>
  <c r="M328" i="13" s="1"/>
  <c r="P346" i="13"/>
  <c r="M392" i="13"/>
  <c r="P392" i="13" s="1"/>
  <c r="N391" i="13"/>
  <c r="N389" i="13" s="1"/>
  <c r="O397" i="13"/>
  <c r="L395" i="13"/>
  <c r="O395" i="13" s="1"/>
  <c r="O468" i="13"/>
  <c r="M347" i="13"/>
  <c r="O424" i="13"/>
  <c r="J433" i="13"/>
  <c r="J417" i="13" s="1"/>
  <c r="O449" i="13"/>
  <c r="K560" i="13"/>
  <c r="N808" i="13"/>
  <c r="I654" i="13"/>
  <c r="K654" i="13" s="1"/>
  <c r="K674" i="13"/>
  <c r="K673" i="13"/>
  <c r="K669" i="13"/>
  <c r="K672" i="13"/>
  <c r="I559" i="13"/>
  <c r="K576" i="13"/>
  <c r="O657" i="13"/>
  <c r="L658" i="13"/>
  <c r="O658" i="13" s="1"/>
  <c r="O660" i="13"/>
  <c r="I628" i="13"/>
  <c r="K628" i="13" s="1"/>
  <c r="K651" i="13"/>
  <c r="P657" i="13"/>
  <c r="M655" i="13"/>
  <c r="P655" i="13" s="1"/>
  <c r="P807" i="13"/>
  <c r="M805" i="13"/>
  <c r="P805" i="13" s="1"/>
  <c r="M467" i="13"/>
  <c r="P467" i="13" s="1"/>
  <c r="M502" i="13"/>
  <c r="P502" i="13" s="1"/>
  <c r="O557" i="13"/>
  <c r="O656" i="13"/>
  <c r="L655" i="13"/>
  <c r="O655" i="13" s="1"/>
  <c r="O690" i="13"/>
  <c r="L687" i="13"/>
  <c r="O687" i="13" s="1"/>
  <c r="L688" i="13"/>
  <c r="O688" i="13" s="1"/>
  <c r="O806" i="13"/>
  <c r="L805" i="13"/>
  <c r="O805" i="13" s="1"/>
  <c r="P333" i="13"/>
  <c r="P350" i="13"/>
  <c r="I433" i="13"/>
  <c r="L546" i="13"/>
  <c r="P555" i="13"/>
  <c r="M545" i="13"/>
  <c r="K621" i="13"/>
  <c r="N629" i="13"/>
  <c r="N414" i="13" s="1"/>
  <c r="N658" i="13"/>
  <c r="L789" i="13"/>
  <c r="O789" i="13" s="1"/>
  <c r="P49" i="12"/>
  <c r="M47" i="12"/>
  <c r="P47" i="12" s="1"/>
  <c r="O96" i="12"/>
  <c r="L90" i="12"/>
  <c r="L88" i="12" s="1"/>
  <c r="L94" i="12"/>
  <c r="O94" i="12" s="1"/>
  <c r="L167" i="12"/>
  <c r="L165" i="12" s="1"/>
  <c r="L168" i="12"/>
  <c r="O189" i="12"/>
  <c r="L187" i="12"/>
  <c r="O187" i="12" s="1"/>
  <c r="P140" i="11"/>
  <c r="M167" i="11"/>
  <c r="M165" i="11" s="1"/>
  <c r="I190" i="11"/>
  <c r="K190" i="11" s="1"/>
  <c r="L469" i="11"/>
  <c r="L467" i="11" s="1"/>
  <c r="M43" i="12"/>
  <c r="M41" i="12" s="1"/>
  <c r="P46" i="12"/>
  <c r="P285" i="12"/>
  <c r="M279" i="12"/>
  <c r="M277" i="12" s="1"/>
  <c r="M283" i="12"/>
  <c r="P283" i="12" s="1"/>
  <c r="J364" i="12"/>
  <c r="J721" i="11"/>
  <c r="P44" i="12"/>
  <c r="O353" i="10"/>
  <c r="M90" i="11"/>
  <c r="M88" i="11" s="1"/>
  <c r="L122" i="12"/>
  <c r="O122" i="12" s="1"/>
  <c r="M155" i="10"/>
  <c r="P155" i="10" s="1"/>
  <c r="M167" i="10"/>
  <c r="M165" i="10" s="1"/>
  <c r="N279" i="11"/>
  <c r="N277" i="11" s="1"/>
  <c r="I297" i="11"/>
  <c r="K297" i="11" s="1"/>
  <c r="K369" i="11"/>
  <c r="N404" i="11"/>
  <c r="N402" i="11" s="1"/>
  <c r="O303" i="12"/>
  <c r="L301" i="12"/>
  <c r="O301" i="12" s="1"/>
  <c r="K338" i="12"/>
  <c r="J327" i="12"/>
  <c r="K327" i="12" s="1"/>
  <c r="I76" i="12"/>
  <c r="I64" i="12" s="1"/>
  <c r="K64" i="12" s="1"/>
  <c r="L231" i="12"/>
  <c r="N300" i="12"/>
  <c r="N298" i="12" s="1"/>
  <c r="P301" i="12"/>
  <c r="K360" i="12"/>
  <c r="K369" i="12"/>
  <c r="K372" i="12"/>
  <c r="L395" i="12"/>
  <c r="O395" i="12" s="1"/>
  <c r="L33" i="12"/>
  <c r="L31" i="12" s="1"/>
  <c r="O31" i="12" s="1"/>
  <c r="I785" i="12"/>
  <c r="K823" i="12"/>
  <c r="N90" i="12"/>
  <c r="N88" i="12" s="1"/>
  <c r="L134" i="12"/>
  <c r="L132" i="12" s="1"/>
  <c r="O132" i="12" s="1"/>
  <c r="L330" i="12"/>
  <c r="L328" i="12" s="1"/>
  <c r="M72" i="12"/>
  <c r="P72" i="12" s="1"/>
  <c r="M94" i="12"/>
  <c r="P94" i="12" s="1"/>
  <c r="M125" i="12"/>
  <c r="P125" i="12" s="1"/>
  <c r="I130" i="12"/>
  <c r="K130" i="12" s="1"/>
  <c r="L171" i="12"/>
  <c r="O171" i="12" s="1"/>
  <c r="P189" i="12"/>
  <c r="I276" i="12"/>
  <c r="K276" i="12" s="1"/>
  <c r="L23" i="12"/>
  <c r="L21" i="12" s="1"/>
  <c r="M317" i="12"/>
  <c r="O353" i="12"/>
  <c r="K649" i="12"/>
  <c r="L657" i="12"/>
  <c r="O657" i="12" s="1"/>
  <c r="K821" i="12"/>
  <c r="K824" i="12"/>
  <c r="K827" i="12"/>
  <c r="L135" i="12"/>
  <c r="O135" i="12" s="1"/>
  <c r="N134" i="12"/>
  <c r="N132" i="12" s="1"/>
  <c r="M171" i="12"/>
  <c r="P171" i="12" s="1"/>
  <c r="L238" i="12"/>
  <c r="O238" i="12" s="1"/>
  <c r="M318" i="12"/>
  <c r="P318" i="12" s="1"/>
  <c r="P59" i="12"/>
  <c r="L68" i="12"/>
  <c r="L66" i="12" s="1"/>
  <c r="M121" i="12"/>
  <c r="P121" i="12" s="1"/>
  <c r="I143" i="12"/>
  <c r="I131" i="12" s="1"/>
  <c r="K131" i="12" s="1"/>
  <c r="L230" i="12"/>
  <c r="I260" i="12"/>
  <c r="K260" i="12" s="1"/>
  <c r="N404" i="12"/>
  <c r="N402" i="12" s="1"/>
  <c r="M404" i="12"/>
  <c r="P404" i="12" s="1"/>
  <c r="J785" i="12"/>
  <c r="K822" i="12"/>
  <c r="K828" i="12"/>
  <c r="K174" i="12"/>
  <c r="I164" i="12"/>
  <c r="K164" i="12" s="1"/>
  <c r="N152" i="12"/>
  <c r="O456" i="7"/>
  <c r="L134" i="8"/>
  <c r="O134" i="8" s="1"/>
  <c r="K78" i="11"/>
  <c r="N300" i="11"/>
  <c r="N298" i="11" s="1"/>
  <c r="L405" i="11"/>
  <c r="O405" i="11" s="1"/>
  <c r="L36" i="12"/>
  <c r="O36" i="12" s="1"/>
  <c r="M55" i="12"/>
  <c r="M53" i="12" s="1"/>
  <c r="N94" i="12"/>
  <c r="K144" i="12"/>
  <c r="K176" i="12"/>
  <c r="I233" i="12"/>
  <c r="K233" i="12" s="1"/>
  <c r="I237" i="12"/>
  <c r="I226" i="12" s="1"/>
  <c r="L280" i="12"/>
  <c r="O280" i="12" s="1"/>
  <c r="J288" i="12"/>
  <c r="L321" i="12"/>
  <c r="O321" i="12" s="1"/>
  <c r="L334" i="12"/>
  <c r="O334" i="12" s="1"/>
  <c r="N391" i="12"/>
  <c r="N389" i="12" s="1"/>
  <c r="I434" i="12"/>
  <c r="I418" i="12" s="1"/>
  <c r="K418" i="12" s="1"/>
  <c r="K537" i="12"/>
  <c r="K701" i="12"/>
  <c r="O331" i="12"/>
  <c r="L229" i="8"/>
  <c r="M91" i="11"/>
  <c r="K822" i="11"/>
  <c r="K828" i="11"/>
  <c r="L44" i="12"/>
  <c r="O44" i="12" s="1"/>
  <c r="O58" i="12"/>
  <c r="M69" i="12"/>
  <c r="P69" i="12" s="1"/>
  <c r="O71" i="12"/>
  <c r="O93" i="12"/>
  <c r="M167" i="12"/>
  <c r="M165" i="12" s="1"/>
  <c r="I297" i="12"/>
  <c r="K297" i="12" s="1"/>
  <c r="P303" i="12"/>
  <c r="L317" i="12"/>
  <c r="O317" i="12" s="1"/>
  <c r="M321" i="12"/>
  <c r="P321" i="12" s="1"/>
  <c r="L404" i="11"/>
  <c r="O404" i="11" s="1"/>
  <c r="M317" i="10"/>
  <c r="P317" i="10" s="1"/>
  <c r="P320" i="10"/>
  <c r="M69" i="11"/>
  <c r="M72" i="11"/>
  <c r="P72" i="11" s="1"/>
  <c r="N135" i="11"/>
  <c r="O135" i="11" s="1"/>
  <c r="P152" i="11"/>
  <c r="K204" i="11"/>
  <c r="L334" i="11"/>
  <c r="O334" i="11" s="1"/>
  <c r="L408" i="11"/>
  <c r="O408" i="11" s="1"/>
  <c r="L546" i="11"/>
  <c r="L544" i="11" s="1"/>
  <c r="O544" i="11" s="1"/>
  <c r="P71" i="12"/>
  <c r="I77" i="12"/>
  <c r="K77" i="12" s="1"/>
  <c r="O91" i="12"/>
  <c r="M23" i="12"/>
  <c r="M21" i="12" s="1"/>
  <c r="N121" i="12"/>
  <c r="N119" i="12" s="1"/>
  <c r="L138" i="12"/>
  <c r="O138" i="12" s="1"/>
  <c r="O140" i="12"/>
  <c r="M300" i="12"/>
  <c r="O336" i="12"/>
  <c r="L347" i="12"/>
  <c r="L345" i="12" s="1"/>
  <c r="L408" i="12"/>
  <c r="O408" i="12" s="1"/>
  <c r="K801" i="12"/>
  <c r="O350" i="11"/>
  <c r="O46" i="12"/>
  <c r="L26" i="12"/>
  <c r="P91" i="12"/>
  <c r="O154" i="12"/>
  <c r="O170" i="12"/>
  <c r="L198" i="12"/>
  <c r="O198" i="12" s="1"/>
  <c r="J537" i="12"/>
  <c r="J522" i="12" s="1"/>
  <c r="K593" i="12"/>
  <c r="L33" i="11"/>
  <c r="L31" i="11" s="1"/>
  <c r="J722" i="11"/>
  <c r="N23" i="12"/>
  <c r="N13" i="12" s="1"/>
  <c r="N11" i="12" s="1"/>
  <c r="K78" i="12"/>
  <c r="L121" i="12"/>
  <c r="L125" i="12"/>
  <c r="O125" i="12" s="1"/>
  <c r="L152" i="12"/>
  <c r="M151" i="12"/>
  <c r="N263" i="12"/>
  <c r="N261" i="12" s="1"/>
  <c r="P306" i="12"/>
  <c r="L318" i="12"/>
  <c r="O318" i="12" s="1"/>
  <c r="K355" i="12"/>
  <c r="K647" i="12"/>
  <c r="K803" i="12"/>
  <c r="P15" i="12"/>
  <c r="O56" i="12"/>
  <c r="P56" i="12"/>
  <c r="O150" i="12"/>
  <c r="M90" i="10"/>
  <c r="M88" i="10" s="1"/>
  <c r="M121" i="10"/>
  <c r="P121" i="10" s="1"/>
  <c r="O140" i="10"/>
  <c r="P46" i="11"/>
  <c r="L279" i="11"/>
  <c r="N391" i="11"/>
  <c r="N389" i="11" s="1"/>
  <c r="L526" i="11"/>
  <c r="O526" i="11" s="1"/>
  <c r="K824" i="11"/>
  <c r="M19" i="12"/>
  <c r="L47" i="12"/>
  <c r="O47" i="12" s="1"/>
  <c r="N55" i="12"/>
  <c r="P93" i="12"/>
  <c r="K98" i="12"/>
  <c r="I112" i="12"/>
  <c r="K112" i="12" s="1"/>
  <c r="M135" i="12"/>
  <c r="P135" i="12" s="1"/>
  <c r="M134" i="12"/>
  <c r="L183" i="12"/>
  <c r="O262" i="12"/>
  <c r="M267" i="12"/>
  <c r="P267" i="12" s="1"/>
  <c r="P269" i="12"/>
  <c r="P333" i="12"/>
  <c r="M331" i="12"/>
  <c r="P331" i="12" s="1"/>
  <c r="M330" i="12"/>
  <c r="O348" i="12"/>
  <c r="O350" i="12"/>
  <c r="N347" i="12"/>
  <c r="N138" i="12"/>
  <c r="I364" i="9"/>
  <c r="N121" i="11"/>
  <c r="N119" i="11" s="1"/>
  <c r="P127" i="11"/>
  <c r="M263" i="11"/>
  <c r="M261" i="11" s="1"/>
  <c r="L318" i="11"/>
  <c r="O318" i="11" s="1"/>
  <c r="M321" i="11"/>
  <c r="P321" i="11" s="1"/>
  <c r="L330" i="11"/>
  <c r="L328" i="11" s="1"/>
  <c r="O353" i="11"/>
  <c r="K360" i="11"/>
  <c r="N19" i="12"/>
  <c r="P25" i="12"/>
  <c r="M26" i="12"/>
  <c r="M24" i="12" s="1"/>
  <c r="P61" i="12"/>
  <c r="M90" i="12"/>
  <c r="P154" i="12"/>
  <c r="L404" i="12"/>
  <c r="O404" i="12" s="1"/>
  <c r="O407" i="12"/>
  <c r="N405" i="11"/>
  <c r="M152" i="12"/>
  <c r="K193" i="12"/>
  <c r="I190" i="12"/>
  <c r="K190" i="12" s="1"/>
  <c r="L546" i="9"/>
  <c r="O546" i="9" s="1"/>
  <c r="L43" i="11"/>
  <c r="L41" i="11" s="1"/>
  <c r="P125" i="11"/>
  <c r="L198" i="11"/>
  <c r="O198" i="11" s="1"/>
  <c r="I433" i="11"/>
  <c r="I417" i="11" s="1"/>
  <c r="N26" i="12"/>
  <c r="O49" i="12"/>
  <c r="P346" i="12"/>
  <c r="L533" i="9"/>
  <c r="O533" i="9" s="1"/>
  <c r="N121" i="9"/>
  <c r="N119" i="9" s="1"/>
  <c r="L404" i="9"/>
  <c r="O404" i="9" s="1"/>
  <c r="I208" i="10"/>
  <c r="K208" i="10" s="1"/>
  <c r="K628" i="10"/>
  <c r="O71" i="11"/>
  <c r="O93" i="11"/>
  <c r="N280" i="11"/>
  <c r="P280" i="11" s="1"/>
  <c r="N301" i="11"/>
  <c r="O301" i="11" s="1"/>
  <c r="M304" i="11"/>
  <c r="P304" i="11" s="1"/>
  <c r="K537" i="11"/>
  <c r="K577" i="11"/>
  <c r="L639" i="11"/>
  <c r="O639" i="11" s="1"/>
  <c r="M29" i="12"/>
  <c r="P58" i="12"/>
  <c r="O61" i="12"/>
  <c r="P137" i="12"/>
  <c r="P182" i="12"/>
  <c r="L279" i="12"/>
  <c r="O285" i="12"/>
  <c r="J433" i="12"/>
  <c r="J417" i="12" s="1"/>
  <c r="K439" i="12"/>
  <c r="P807" i="12"/>
  <c r="M805" i="12"/>
  <c r="P805" i="12" s="1"/>
  <c r="O184" i="11"/>
  <c r="K338" i="11"/>
  <c r="M12" i="12"/>
  <c r="O22" i="12"/>
  <c r="L19" i="12"/>
  <c r="L12" i="12"/>
  <c r="O69" i="12"/>
  <c r="M138" i="12"/>
  <c r="P138" i="12" s="1"/>
  <c r="P140" i="12"/>
  <c r="N184" i="12"/>
  <c r="O184" i="12" s="1"/>
  <c r="P186" i="12"/>
  <c r="O186" i="12"/>
  <c r="K462" i="12"/>
  <c r="I443" i="12"/>
  <c r="K443" i="12" s="1"/>
  <c r="L217" i="12"/>
  <c r="O217" i="12" s="1"/>
  <c r="O333" i="12"/>
  <c r="N330" i="12"/>
  <c r="N328" i="12" s="1"/>
  <c r="L391" i="12"/>
  <c r="O391" i="12" s="1"/>
  <c r="P397" i="12"/>
  <c r="M395" i="12"/>
  <c r="P395" i="12" s="1"/>
  <c r="P420" i="12"/>
  <c r="M419" i="12"/>
  <c r="O266" i="12"/>
  <c r="N317" i="12"/>
  <c r="K385" i="12"/>
  <c r="P410" i="12"/>
  <c r="N419" i="12"/>
  <c r="L429" i="12"/>
  <c r="O429" i="12" s="1"/>
  <c r="L421" i="12"/>
  <c r="I433" i="12"/>
  <c r="K435" i="12"/>
  <c r="L454" i="12"/>
  <c r="O454" i="12" s="1"/>
  <c r="O456" i="12"/>
  <c r="P468" i="12"/>
  <c r="O528" i="12"/>
  <c r="L526" i="12"/>
  <c r="O526" i="12" s="1"/>
  <c r="L525" i="12"/>
  <c r="O525" i="12" s="1"/>
  <c r="P545" i="12"/>
  <c r="M544" i="12"/>
  <c r="P544" i="12" s="1"/>
  <c r="P264" i="12"/>
  <c r="P282" i="12"/>
  <c r="N315" i="12"/>
  <c r="K374" i="12"/>
  <c r="I364" i="12"/>
  <c r="O390" i="12"/>
  <c r="O479" i="12"/>
  <c r="L469" i="12"/>
  <c r="M523" i="12"/>
  <c r="P523" i="12" s="1"/>
  <c r="P525" i="12"/>
  <c r="P394" i="12"/>
  <c r="M391" i="12"/>
  <c r="P391" i="12" s="1"/>
  <c r="L151" i="12"/>
  <c r="N168" i="12"/>
  <c r="P168" i="12" s="1"/>
  <c r="P170" i="12"/>
  <c r="P266" i="12"/>
  <c r="O282" i="12"/>
  <c r="P350" i="12"/>
  <c r="M348" i="12"/>
  <c r="P348" i="12" s="1"/>
  <c r="L447" i="12"/>
  <c r="O447" i="12" s="1"/>
  <c r="L446" i="12"/>
  <c r="L547" i="12"/>
  <c r="O547" i="12" s="1"/>
  <c r="O549" i="12"/>
  <c r="L546" i="12"/>
  <c r="K675" i="12"/>
  <c r="I654" i="12"/>
  <c r="K654" i="12" s="1"/>
  <c r="K674" i="12"/>
  <c r="K673" i="12"/>
  <c r="K669" i="12"/>
  <c r="K672" i="12"/>
  <c r="K628" i="12"/>
  <c r="O690" i="12"/>
  <c r="L687" i="12"/>
  <c r="O687" i="12" s="1"/>
  <c r="L688" i="12"/>
  <c r="O688" i="12" s="1"/>
  <c r="O806" i="12"/>
  <c r="L805" i="12"/>
  <c r="O805" i="12" s="1"/>
  <c r="P657" i="12"/>
  <c r="M655" i="12"/>
  <c r="P655" i="12" s="1"/>
  <c r="K340" i="12"/>
  <c r="P353" i="12"/>
  <c r="K365" i="12"/>
  <c r="O524" i="12"/>
  <c r="K568" i="12"/>
  <c r="K577" i="12"/>
  <c r="O656" i="12"/>
  <c r="N444" i="12"/>
  <c r="K621" i="12"/>
  <c r="K651" i="12"/>
  <c r="L639" i="12"/>
  <c r="O639" i="12" s="1"/>
  <c r="O660" i="12"/>
  <c r="L789" i="12"/>
  <c r="O789" i="12" s="1"/>
  <c r="L631" i="12"/>
  <c r="L737" i="12"/>
  <c r="O737" i="12" s="1"/>
  <c r="L754" i="12"/>
  <c r="O754" i="12" s="1"/>
  <c r="L770" i="12"/>
  <c r="O770" i="12" s="1"/>
  <c r="K539" i="12"/>
  <c r="N121" i="5"/>
  <c r="N119" i="5" s="1"/>
  <c r="M395" i="9"/>
  <c r="P395" i="9" s="1"/>
  <c r="P124" i="10"/>
  <c r="J721" i="10"/>
  <c r="N91" i="11"/>
  <c r="O170" i="11"/>
  <c r="L229" i="11"/>
  <c r="L321" i="11"/>
  <c r="O321" i="11" s="1"/>
  <c r="O634" i="11"/>
  <c r="K675" i="11"/>
  <c r="L330" i="10"/>
  <c r="L328" i="10" s="1"/>
  <c r="O336" i="10"/>
  <c r="I559" i="10"/>
  <c r="I543" i="10" s="1"/>
  <c r="K543" i="10" s="1"/>
  <c r="L55" i="11"/>
  <c r="L53" i="11" s="1"/>
  <c r="O56" i="11"/>
  <c r="L152" i="11"/>
  <c r="O152" i="11" s="1"/>
  <c r="L304" i="11"/>
  <c r="O304" i="11" s="1"/>
  <c r="O331" i="11"/>
  <c r="O449" i="11"/>
  <c r="L36" i="11"/>
  <c r="O36" i="11" s="1"/>
  <c r="K669" i="11"/>
  <c r="K379" i="9"/>
  <c r="O61" i="11"/>
  <c r="O282" i="11"/>
  <c r="L347" i="11"/>
  <c r="L345" i="11" s="1"/>
  <c r="J364" i="11"/>
  <c r="L547" i="11"/>
  <c r="O547" i="11" s="1"/>
  <c r="I654" i="11"/>
  <c r="K654" i="11" s="1"/>
  <c r="L687" i="11"/>
  <c r="O687" i="11" s="1"/>
  <c r="N167" i="10"/>
  <c r="N165" i="10" s="1"/>
  <c r="K378" i="10"/>
  <c r="L631" i="10"/>
  <c r="L629" i="10" s="1"/>
  <c r="O629" i="10" s="1"/>
  <c r="I77" i="11"/>
  <c r="K77" i="11" s="1"/>
  <c r="O168" i="11"/>
  <c r="M171" i="11"/>
  <c r="P171" i="11" s="1"/>
  <c r="M283" i="11"/>
  <c r="P283" i="11" s="1"/>
  <c r="L348" i="11"/>
  <c r="O348" i="11" s="1"/>
  <c r="K359" i="11"/>
  <c r="I442" i="11"/>
  <c r="K442" i="11" s="1"/>
  <c r="O660" i="11"/>
  <c r="I785" i="11"/>
  <c r="K785" i="11" s="1"/>
  <c r="M43" i="11"/>
  <c r="M41" i="11" s="1"/>
  <c r="L47" i="11"/>
  <c r="O47" i="11" s="1"/>
  <c r="O127" i="11"/>
  <c r="L300" i="11"/>
  <c r="L298" i="11" s="1"/>
  <c r="L392" i="11"/>
  <c r="O392" i="11" s="1"/>
  <c r="K673" i="11"/>
  <c r="L688" i="11"/>
  <c r="O688" i="11" s="1"/>
  <c r="O788" i="11"/>
  <c r="L786" i="11"/>
  <c r="O786" i="11" s="1"/>
  <c r="P124" i="11"/>
  <c r="M122" i="11"/>
  <c r="P122" i="11" s="1"/>
  <c r="O410" i="8"/>
  <c r="M55" i="10"/>
  <c r="M53" i="10" s="1"/>
  <c r="M300" i="10"/>
  <c r="M298" i="10" s="1"/>
  <c r="M321" i="10"/>
  <c r="P321" i="10" s="1"/>
  <c r="K821" i="10"/>
  <c r="L23" i="11"/>
  <c r="L44" i="11"/>
  <c r="O44" i="11" s="1"/>
  <c r="L68" i="11"/>
  <c r="O74" i="11"/>
  <c r="N90" i="11"/>
  <c r="I276" i="11"/>
  <c r="K276" i="11" s="1"/>
  <c r="K385" i="11"/>
  <c r="O397" i="11"/>
  <c r="L395" i="11"/>
  <c r="O395" i="11" s="1"/>
  <c r="K224" i="11"/>
  <c r="I216" i="11"/>
  <c r="K216" i="11" s="1"/>
  <c r="I148" i="10"/>
  <c r="K148" i="10" s="1"/>
  <c r="M152" i="10"/>
  <c r="P152" i="10" s="1"/>
  <c r="L231" i="10"/>
  <c r="I276" i="10"/>
  <c r="K276" i="10" s="1"/>
  <c r="K359" i="10"/>
  <c r="K355" i="10"/>
  <c r="N404" i="10"/>
  <c r="N402" i="10" s="1"/>
  <c r="L555" i="10"/>
  <c r="O555" i="10" s="1"/>
  <c r="M23" i="11"/>
  <c r="M21" i="11" s="1"/>
  <c r="M44" i="11"/>
  <c r="P44" i="11" s="1"/>
  <c r="O58" i="11"/>
  <c r="N68" i="11"/>
  <c r="P93" i="11"/>
  <c r="M168" i="11"/>
  <c r="P168" i="11" s="1"/>
  <c r="L183" i="11"/>
  <c r="L181" i="11" s="1"/>
  <c r="O189" i="11"/>
  <c r="N347" i="11"/>
  <c r="J143" i="10"/>
  <c r="J131" i="10" s="1"/>
  <c r="L283" i="10"/>
  <c r="O283" i="10" s="1"/>
  <c r="L94" i="11"/>
  <c r="O94" i="11" s="1"/>
  <c r="O96" i="11"/>
  <c r="O157" i="11"/>
  <c r="L151" i="11"/>
  <c r="O151" i="11" s="1"/>
  <c r="P189" i="11"/>
  <c r="M183" i="11"/>
  <c r="M181" i="11" s="1"/>
  <c r="O269" i="11"/>
  <c r="L267" i="11"/>
  <c r="O267" i="11" s="1"/>
  <c r="M317" i="11"/>
  <c r="P320" i="11"/>
  <c r="M351" i="11"/>
  <c r="P353" i="11"/>
  <c r="K628" i="11"/>
  <c r="L547" i="8"/>
  <c r="O547" i="8" s="1"/>
  <c r="N68" i="10"/>
  <c r="N66" i="10" s="1"/>
  <c r="O791" i="11"/>
  <c r="L789" i="11"/>
  <c r="O789" i="11" s="1"/>
  <c r="L263" i="7"/>
  <c r="K828" i="10"/>
  <c r="M47" i="11"/>
  <c r="P47" i="11" s="1"/>
  <c r="M55" i="11"/>
  <c r="M53" i="11" s="1"/>
  <c r="K79" i="11"/>
  <c r="L134" i="11"/>
  <c r="M155" i="11"/>
  <c r="P155" i="11" s="1"/>
  <c r="M151" i="11"/>
  <c r="M149" i="11" s="1"/>
  <c r="M267" i="11"/>
  <c r="P267" i="11" s="1"/>
  <c r="P269" i="11"/>
  <c r="N317" i="11"/>
  <c r="N315" i="11" s="1"/>
  <c r="N318" i="11"/>
  <c r="M138" i="9"/>
  <c r="P138" i="9" s="1"/>
  <c r="M317" i="9"/>
  <c r="P317" i="9" s="1"/>
  <c r="L470" i="9"/>
  <c r="O470" i="9" s="1"/>
  <c r="M391" i="10"/>
  <c r="P391" i="10" s="1"/>
  <c r="L90" i="11"/>
  <c r="M94" i="11"/>
  <c r="P94" i="11" s="1"/>
  <c r="M134" i="11"/>
  <c r="L155" i="11"/>
  <c r="O155" i="11" s="1"/>
  <c r="M187" i="11"/>
  <c r="P187" i="11" s="1"/>
  <c r="L263" i="11"/>
  <c r="L261" i="11" s="1"/>
  <c r="M318" i="11"/>
  <c r="P318" i="11" s="1"/>
  <c r="N351" i="11"/>
  <c r="O351" i="11" s="1"/>
  <c r="N392" i="11"/>
  <c r="O535" i="11"/>
  <c r="L533" i="11"/>
  <c r="O533" i="11" s="1"/>
  <c r="K649" i="11"/>
  <c r="K651" i="11"/>
  <c r="L217" i="11"/>
  <c r="O217" i="11" s="1"/>
  <c r="L230" i="11"/>
  <c r="L317" i="11"/>
  <c r="L315" i="11" s="1"/>
  <c r="O315" i="11" s="1"/>
  <c r="K370" i="11"/>
  <c r="K381" i="11"/>
  <c r="O394" i="11"/>
  <c r="K592" i="11"/>
  <c r="L631" i="11"/>
  <c r="O631" i="11" s="1"/>
  <c r="K672" i="11"/>
  <c r="I143" i="11"/>
  <c r="I131" i="11" s="1"/>
  <c r="L231" i="11"/>
  <c r="J327" i="11"/>
  <c r="K327" i="11" s="1"/>
  <c r="O422" i="11"/>
  <c r="I112" i="11"/>
  <c r="K112" i="11" s="1"/>
  <c r="L209" i="11"/>
  <c r="O209" i="11" s="1"/>
  <c r="K288" i="11"/>
  <c r="K374" i="11"/>
  <c r="K379" i="11"/>
  <c r="L429" i="11"/>
  <c r="O429" i="11" s="1"/>
  <c r="K827" i="11"/>
  <c r="K340" i="11"/>
  <c r="P12" i="11"/>
  <c r="O59" i="11"/>
  <c r="P59" i="11"/>
  <c r="P56" i="11"/>
  <c r="M28" i="11"/>
  <c r="P28" i="11" s="1"/>
  <c r="N264" i="11"/>
  <c r="P266" i="11"/>
  <c r="K325" i="11"/>
  <c r="I314" i="11"/>
  <c r="K314" i="11" s="1"/>
  <c r="M334" i="11"/>
  <c r="P334" i="11" s="1"/>
  <c r="P336" i="11"/>
  <c r="M348" i="11"/>
  <c r="P348" i="11" s="1"/>
  <c r="M347" i="11"/>
  <c r="P403" i="11"/>
  <c r="N68" i="7"/>
  <c r="N66" i="7" s="1"/>
  <c r="I86" i="9"/>
  <c r="K86" i="9" s="1"/>
  <c r="L405" i="9"/>
  <c r="O405" i="9" s="1"/>
  <c r="L408" i="9"/>
  <c r="O408" i="9" s="1"/>
  <c r="I443" i="9"/>
  <c r="K443" i="9" s="1"/>
  <c r="K560" i="9"/>
  <c r="K569" i="9"/>
  <c r="P96" i="10"/>
  <c r="L300" i="10"/>
  <c r="L298" i="10" s="1"/>
  <c r="N300" i="10"/>
  <c r="N298" i="10" s="1"/>
  <c r="K338" i="10"/>
  <c r="K675" i="10"/>
  <c r="K824" i="10"/>
  <c r="M15" i="11"/>
  <c r="N23" i="11"/>
  <c r="N55" i="11"/>
  <c r="L121" i="11"/>
  <c r="P137" i="11"/>
  <c r="P157" i="11"/>
  <c r="N167" i="11"/>
  <c r="N165" i="11" s="1"/>
  <c r="P186" i="11"/>
  <c r="M184" i="11"/>
  <c r="P184" i="11" s="1"/>
  <c r="K197" i="11"/>
  <c r="K244" i="11"/>
  <c r="I237" i="11"/>
  <c r="I233" i="11"/>
  <c r="K233" i="11" s="1"/>
  <c r="K255" i="11"/>
  <c r="I248" i="11"/>
  <c r="K248" i="11" s="1"/>
  <c r="O266" i="11"/>
  <c r="I275" i="11"/>
  <c r="K275" i="11" s="1"/>
  <c r="N421" i="11"/>
  <c r="O424" i="11"/>
  <c r="O549" i="11"/>
  <c r="N688" i="11"/>
  <c r="N687" i="11"/>
  <c r="K701" i="8"/>
  <c r="M55" i="9"/>
  <c r="M53" i="9" s="1"/>
  <c r="M151" i="9"/>
  <c r="P151" i="9" s="1"/>
  <c r="L230" i="9"/>
  <c r="L36" i="10"/>
  <c r="L34" i="10" s="1"/>
  <c r="O34" i="10" s="1"/>
  <c r="L47" i="10"/>
  <c r="O47" i="10" s="1"/>
  <c r="L151" i="10"/>
  <c r="O151" i="10" s="1"/>
  <c r="L228" i="10"/>
  <c r="M301" i="10"/>
  <c r="K649" i="10"/>
  <c r="O690" i="10"/>
  <c r="K822" i="10"/>
  <c r="L26" i="11"/>
  <c r="P29" i="11"/>
  <c r="M31" i="11"/>
  <c r="P31" i="11" s="1"/>
  <c r="P33" i="11"/>
  <c r="N43" i="11"/>
  <c r="M121" i="11"/>
  <c r="O124" i="11"/>
  <c r="O138" i="11"/>
  <c r="L167" i="11"/>
  <c r="O173" i="11"/>
  <c r="P182" i="11"/>
  <c r="O186" i="11"/>
  <c r="N183" i="11"/>
  <c r="N181" i="11" s="1"/>
  <c r="O285" i="11"/>
  <c r="N502" i="11"/>
  <c r="I77" i="10"/>
  <c r="K77" i="10" s="1"/>
  <c r="O282" i="10"/>
  <c r="P348" i="10"/>
  <c r="L688" i="10"/>
  <c r="O688" i="10" s="1"/>
  <c r="L12" i="11"/>
  <c r="L19" i="11"/>
  <c r="M26" i="11"/>
  <c r="P32" i="11"/>
  <c r="O89" i="11"/>
  <c r="O125" i="11"/>
  <c r="M138" i="11"/>
  <c r="P138" i="11" s="1"/>
  <c r="K146" i="11"/>
  <c r="I174" i="11"/>
  <c r="L228" i="11"/>
  <c r="L249" i="11"/>
  <c r="O249" i="11" s="1"/>
  <c r="N263" i="11"/>
  <c r="P282" i="11"/>
  <c r="M279" i="11"/>
  <c r="M331" i="11"/>
  <c r="P331" i="11" s="1"/>
  <c r="M330" i="11"/>
  <c r="M328" i="11" s="1"/>
  <c r="P333" i="11"/>
  <c r="P350" i="11"/>
  <c r="M404" i="11"/>
  <c r="P404" i="11" s="1"/>
  <c r="M408" i="11"/>
  <c r="P408" i="11" s="1"/>
  <c r="O503" i="11"/>
  <c r="O630" i="11"/>
  <c r="L36" i="9"/>
  <c r="O36" i="9" s="1"/>
  <c r="J364" i="9"/>
  <c r="P56" i="10"/>
  <c r="M134" i="10"/>
  <c r="M132" i="10" s="1"/>
  <c r="L230" i="10"/>
  <c r="N263" i="10"/>
  <c r="N261" i="10" s="1"/>
  <c r="M347" i="10"/>
  <c r="M345" i="10" s="1"/>
  <c r="I442" i="10"/>
  <c r="K442" i="10" s="1"/>
  <c r="L446" i="10"/>
  <c r="L444" i="10" s="1"/>
  <c r="K647" i="10"/>
  <c r="N26" i="11"/>
  <c r="P61" i="11"/>
  <c r="O137" i="11"/>
  <c r="N151" i="11"/>
  <c r="L238" i="11"/>
  <c r="O333" i="11"/>
  <c r="N330" i="11"/>
  <c r="K372" i="11"/>
  <c r="P419" i="11"/>
  <c r="I443" i="11"/>
  <c r="K443" i="11" s="1"/>
  <c r="K462" i="11"/>
  <c r="K541" i="11"/>
  <c r="J537" i="11"/>
  <c r="J522" i="11" s="1"/>
  <c r="I559" i="11"/>
  <c r="K576" i="11"/>
  <c r="K379" i="10"/>
  <c r="P58" i="11"/>
  <c r="N69" i="11"/>
  <c r="P71" i="11"/>
  <c r="J143" i="11"/>
  <c r="J131" i="11" s="1"/>
  <c r="I364" i="11"/>
  <c r="K365" i="11"/>
  <c r="M392" i="11"/>
  <c r="P392" i="11" s="1"/>
  <c r="P394" i="11"/>
  <c r="M391" i="11"/>
  <c r="P391" i="11" s="1"/>
  <c r="L446" i="11"/>
  <c r="O446" i="11" s="1"/>
  <c r="O456" i="11"/>
  <c r="L454" i="11"/>
  <c r="O454" i="11" s="1"/>
  <c r="P555" i="11"/>
  <c r="M545" i="11"/>
  <c r="O140" i="11"/>
  <c r="M395" i="11"/>
  <c r="P395" i="11" s="1"/>
  <c r="P397" i="11"/>
  <c r="K466" i="11"/>
  <c r="N544" i="11"/>
  <c r="O686" i="11"/>
  <c r="M805" i="11"/>
  <c r="P805" i="11" s="1"/>
  <c r="P806" i="11"/>
  <c r="P154" i="11"/>
  <c r="P170" i="11"/>
  <c r="I260" i="11"/>
  <c r="K260" i="11" s="1"/>
  <c r="O303" i="11"/>
  <c r="J433" i="11"/>
  <c r="J417" i="11" s="1"/>
  <c r="O557" i="11"/>
  <c r="L555" i="11"/>
  <c r="O555" i="11" s="1"/>
  <c r="K647" i="11"/>
  <c r="P656" i="11"/>
  <c r="M655" i="11"/>
  <c r="P655" i="11" s="1"/>
  <c r="P303" i="11"/>
  <c r="M300" i="11"/>
  <c r="K378" i="11"/>
  <c r="O403" i="11"/>
  <c r="O445" i="11"/>
  <c r="O528" i="11"/>
  <c r="L525" i="11"/>
  <c r="O525" i="11" s="1"/>
  <c r="N655" i="11"/>
  <c r="N472" i="11"/>
  <c r="K593" i="11"/>
  <c r="M685" i="11"/>
  <c r="P685" i="11" s="1"/>
  <c r="N756" i="11"/>
  <c r="N772" i="11"/>
  <c r="N788" i="11"/>
  <c r="N805" i="11"/>
  <c r="K821" i="11"/>
  <c r="N685" i="11"/>
  <c r="M786" i="11"/>
  <c r="P786" i="11" s="1"/>
  <c r="N737" i="11"/>
  <c r="N786" i="11"/>
  <c r="N754" i="11"/>
  <c r="N770" i="11"/>
  <c r="P787" i="11"/>
  <c r="K440" i="11"/>
  <c r="I434" i="11"/>
  <c r="O472" i="11"/>
  <c r="K560" i="11"/>
  <c r="M737" i="11"/>
  <c r="P737" i="11" s="1"/>
  <c r="K823" i="11"/>
  <c r="N43" i="10"/>
  <c r="N41" i="10" s="1"/>
  <c r="M121" i="8"/>
  <c r="P121" i="8" s="1"/>
  <c r="I276" i="8"/>
  <c r="K276" i="8" s="1"/>
  <c r="L657" i="8"/>
  <c r="O657" i="8" s="1"/>
  <c r="N68" i="9"/>
  <c r="N66" i="9" s="1"/>
  <c r="P137" i="9"/>
  <c r="K340" i="9"/>
  <c r="L526" i="9"/>
  <c r="O526" i="9" s="1"/>
  <c r="K647" i="9"/>
  <c r="O58" i="10"/>
  <c r="O69" i="10"/>
  <c r="N347" i="10"/>
  <c r="N345" i="10" s="1"/>
  <c r="K360" i="10"/>
  <c r="K372" i="10"/>
  <c r="I260" i="8"/>
  <c r="K260" i="8" s="1"/>
  <c r="I314" i="9"/>
  <c r="K314" i="9" s="1"/>
  <c r="M59" i="10"/>
  <c r="P59" i="10" s="1"/>
  <c r="O91" i="10"/>
  <c r="I190" i="10"/>
  <c r="K190" i="10" s="1"/>
  <c r="L405" i="10"/>
  <c r="O405" i="10" s="1"/>
  <c r="O424" i="10"/>
  <c r="O449" i="10"/>
  <c r="O791" i="10"/>
  <c r="L94" i="8"/>
  <c r="O94" i="8" s="1"/>
  <c r="L229" i="10"/>
  <c r="P285" i="10"/>
  <c r="K370" i="10"/>
  <c r="L391" i="10"/>
  <c r="N405" i="10"/>
  <c r="M408" i="10"/>
  <c r="P408" i="10" s="1"/>
  <c r="K620" i="10"/>
  <c r="N300" i="6"/>
  <c r="N298" i="6" s="1"/>
  <c r="O266" i="8"/>
  <c r="L55" i="9"/>
  <c r="L53" i="9" s="1"/>
  <c r="O44" i="10"/>
  <c r="O56" i="10"/>
  <c r="K79" i="10"/>
  <c r="L209" i="10"/>
  <c r="O209" i="10" s="1"/>
  <c r="I248" i="10"/>
  <c r="K248" i="10" s="1"/>
  <c r="L301" i="9"/>
  <c r="O301" i="9" s="1"/>
  <c r="K362" i="9"/>
  <c r="L33" i="10"/>
  <c r="L31" i="10" s="1"/>
  <c r="P46" i="10"/>
  <c r="P58" i="10"/>
  <c r="P93" i="10"/>
  <c r="N90" i="10"/>
  <c r="O303" i="10"/>
  <c r="O394" i="10"/>
  <c r="N184" i="10"/>
  <c r="P184" i="10" s="1"/>
  <c r="N183" i="10"/>
  <c r="N181" i="10" s="1"/>
  <c r="O320" i="10"/>
  <c r="L317" i="10"/>
  <c r="O317" i="10" s="1"/>
  <c r="I434" i="10"/>
  <c r="I418" i="10" s="1"/>
  <c r="K418" i="10" s="1"/>
  <c r="K438" i="10"/>
  <c r="I443" i="10"/>
  <c r="K443" i="10" s="1"/>
  <c r="K462" i="10"/>
  <c r="M134" i="8"/>
  <c r="P134" i="8" s="1"/>
  <c r="L151" i="8"/>
  <c r="L149" i="8" s="1"/>
  <c r="N183" i="8"/>
  <c r="N181" i="8" s="1"/>
  <c r="M279" i="8"/>
  <c r="M277" i="8" s="1"/>
  <c r="K159" i="9"/>
  <c r="N183" i="9"/>
  <c r="N181" i="9" s="1"/>
  <c r="L317" i="9"/>
  <c r="O317" i="9" s="1"/>
  <c r="K378" i="9"/>
  <c r="I86" i="10"/>
  <c r="K86" i="10" s="1"/>
  <c r="L134" i="10"/>
  <c r="L132" i="10" s="1"/>
  <c r="K146" i="10"/>
  <c r="O154" i="10"/>
  <c r="P168" i="10"/>
  <c r="K271" i="10"/>
  <c r="I260" i="10"/>
  <c r="K260" i="10" s="1"/>
  <c r="L318" i="10"/>
  <c r="O318" i="10" s="1"/>
  <c r="L429" i="10"/>
  <c r="O429" i="10" s="1"/>
  <c r="L421" i="10"/>
  <c r="L419" i="10" s="1"/>
  <c r="O431" i="10"/>
  <c r="L68" i="8"/>
  <c r="L66" i="8" s="1"/>
  <c r="M321" i="8"/>
  <c r="P321" i="8" s="1"/>
  <c r="N184" i="9"/>
  <c r="P184" i="9" s="1"/>
  <c r="L639" i="9"/>
  <c r="O639" i="9" s="1"/>
  <c r="J722" i="9"/>
  <c r="K823" i="9"/>
  <c r="L26" i="10"/>
  <c r="L43" i="10"/>
  <c r="L59" i="10"/>
  <c r="O59" i="10" s="1"/>
  <c r="L90" i="10"/>
  <c r="I112" i="10"/>
  <c r="K112" i="10" s="1"/>
  <c r="L125" i="10"/>
  <c r="O125" i="10" s="1"/>
  <c r="M151" i="10"/>
  <c r="P151" i="10" s="1"/>
  <c r="N279" i="10"/>
  <c r="N277" i="10" s="1"/>
  <c r="M280" i="10"/>
  <c r="P280" i="10" s="1"/>
  <c r="P282" i="10"/>
  <c r="M279" i="10"/>
  <c r="M277" i="10" s="1"/>
  <c r="O660" i="10"/>
  <c r="L657" i="10"/>
  <c r="O657" i="10" s="1"/>
  <c r="L658" i="10"/>
  <c r="O658" i="10" s="1"/>
  <c r="K360" i="8"/>
  <c r="L167" i="9"/>
  <c r="I275" i="9"/>
  <c r="K275" i="9" s="1"/>
  <c r="K288" i="9"/>
  <c r="M334" i="9"/>
  <c r="P334" i="9" s="1"/>
  <c r="O46" i="10"/>
  <c r="L55" i="10"/>
  <c r="L53" i="10" s="1"/>
  <c r="O93" i="10"/>
  <c r="N121" i="10"/>
  <c r="N119" i="10" s="1"/>
  <c r="M125" i="10"/>
  <c r="P125" i="10" s="1"/>
  <c r="O135" i="10"/>
  <c r="P138" i="10"/>
  <c r="N151" i="10"/>
  <c r="N149" i="10" s="1"/>
  <c r="O687" i="10"/>
  <c r="L685" i="10"/>
  <c r="O685" i="10" s="1"/>
  <c r="P407" i="10"/>
  <c r="M404" i="10"/>
  <c r="P404" i="10" s="1"/>
  <c r="M405" i="10"/>
  <c r="P405" i="10" s="1"/>
  <c r="N90" i="9"/>
  <c r="N88" i="9" s="1"/>
  <c r="K385" i="9"/>
  <c r="L122" i="10"/>
  <c r="O122" i="10" s="1"/>
  <c r="I143" i="10"/>
  <c r="L152" i="10"/>
  <c r="O152" i="10" s="1"/>
  <c r="P170" i="10"/>
  <c r="P173" i="10"/>
  <c r="M171" i="10"/>
  <c r="P171" i="10" s="1"/>
  <c r="P189" i="10"/>
  <c r="M187" i="10"/>
  <c r="P187" i="10" s="1"/>
  <c r="M183" i="10"/>
  <c r="K224" i="10"/>
  <c r="I216" i="10"/>
  <c r="K216" i="10" s="1"/>
  <c r="M263" i="10"/>
  <c r="P269" i="10"/>
  <c r="M267" i="10"/>
  <c r="P267" i="10" s="1"/>
  <c r="P306" i="10"/>
  <c r="M304" i="10"/>
  <c r="P304" i="10" s="1"/>
  <c r="O323" i="10"/>
  <c r="L525" i="10"/>
  <c r="O525" i="10" s="1"/>
  <c r="I654" i="10"/>
  <c r="K654" i="10" s="1"/>
  <c r="O269" i="10"/>
  <c r="L279" i="10"/>
  <c r="O348" i="10"/>
  <c r="O641" i="10"/>
  <c r="P186" i="10"/>
  <c r="K204" i="10"/>
  <c r="P350" i="10"/>
  <c r="K385" i="10"/>
  <c r="O528" i="10"/>
  <c r="K651" i="10"/>
  <c r="K673" i="10"/>
  <c r="K827" i="10"/>
  <c r="J364" i="10"/>
  <c r="K674" i="10"/>
  <c r="J722" i="10"/>
  <c r="L217" i="10"/>
  <c r="O217" i="10" s="1"/>
  <c r="O334" i="10"/>
  <c r="K340" i="10"/>
  <c r="O350" i="10"/>
  <c r="K362" i="10"/>
  <c r="K381" i="10"/>
  <c r="O397" i="10"/>
  <c r="O535" i="10"/>
  <c r="K669" i="10"/>
  <c r="K823" i="10"/>
  <c r="K729" i="8"/>
  <c r="P56" i="9"/>
  <c r="M167" i="9"/>
  <c r="M165" i="9" s="1"/>
  <c r="K287" i="9"/>
  <c r="M318" i="9"/>
  <c r="P318" i="9" s="1"/>
  <c r="L321" i="9"/>
  <c r="O321" i="9" s="1"/>
  <c r="N28" i="10"/>
  <c r="M23" i="9"/>
  <c r="M21" i="9" s="1"/>
  <c r="J721" i="8"/>
  <c r="K721" i="8" s="1"/>
  <c r="N69" i="9"/>
  <c r="P69" i="9" s="1"/>
  <c r="N91" i="9"/>
  <c r="O91" i="9" s="1"/>
  <c r="P69" i="10"/>
  <c r="O472" i="8"/>
  <c r="K725" i="8"/>
  <c r="M183" i="9"/>
  <c r="M181" i="9" s="1"/>
  <c r="I260" i="9"/>
  <c r="K260" i="9" s="1"/>
  <c r="P135" i="10"/>
  <c r="O56" i="9"/>
  <c r="M187" i="9"/>
  <c r="P187" i="9" s="1"/>
  <c r="I190" i="9"/>
  <c r="K190" i="9" s="1"/>
  <c r="M280" i="9"/>
  <c r="P280" i="9" s="1"/>
  <c r="N392" i="10"/>
  <c r="N391" i="10"/>
  <c r="N389" i="10" s="1"/>
  <c r="N525" i="10"/>
  <c r="N526" i="10"/>
  <c r="O787" i="10"/>
  <c r="M26" i="10"/>
  <c r="M47" i="10"/>
  <c r="P47" i="10" s="1"/>
  <c r="L68" i="10"/>
  <c r="P71" i="10"/>
  <c r="L121" i="10"/>
  <c r="N134" i="10"/>
  <c r="O137" i="10"/>
  <c r="P182" i="10"/>
  <c r="O186" i="10"/>
  <c r="L184" i="10"/>
  <c r="L238" i="10"/>
  <c r="J288" i="10"/>
  <c r="I275" i="10"/>
  <c r="N318" i="10"/>
  <c r="N317" i="10"/>
  <c r="N315" i="10" s="1"/>
  <c r="O350" i="9"/>
  <c r="M12" i="10"/>
  <c r="M19" i="10"/>
  <c r="N26" i="10"/>
  <c r="N16" i="10" s="1"/>
  <c r="N14" i="10" s="1"/>
  <c r="N33" i="10"/>
  <c r="N30" i="10" s="1"/>
  <c r="M44" i="10"/>
  <c r="P44" i="10" s="1"/>
  <c r="N47" i="10"/>
  <c r="M68" i="10"/>
  <c r="O74" i="10"/>
  <c r="M91" i="10"/>
  <c r="P91" i="10" s="1"/>
  <c r="N94" i="10"/>
  <c r="L138" i="10"/>
  <c r="O138" i="10" s="1"/>
  <c r="P166" i="10"/>
  <c r="O170" i="10"/>
  <c r="L168" i="10"/>
  <c r="O168" i="10" s="1"/>
  <c r="N227" i="10"/>
  <c r="P336" i="10"/>
  <c r="M334" i="10"/>
  <c r="P334" i="10" s="1"/>
  <c r="K435" i="10"/>
  <c r="J433" i="10"/>
  <c r="J417" i="10" s="1"/>
  <c r="I433" i="10"/>
  <c r="O524" i="10"/>
  <c r="K649" i="9"/>
  <c r="J721" i="9"/>
  <c r="N12" i="10"/>
  <c r="L23" i="10"/>
  <c r="O71" i="10"/>
  <c r="I76" i="10"/>
  <c r="K244" i="10"/>
  <c r="I237" i="10"/>
  <c r="P266" i="10"/>
  <c r="N264" i="10"/>
  <c r="O264" i="10" s="1"/>
  <c r="O278" i="10"/>
  <c r="O306" i="10"/>
  <c r="N330" i="10"/>
  <c r="O333" i="10"/>
  <c r="N331" i="10"/>
  <c r="O331" i="10" s="1"/>
  <c r="L15" i="10"/>
  <c r="M23" i="10"/>
  <c r="L29" i="10"/>
  <c r="M30" i="10"/>
  <c r="M43" i="10"/>
  <c r="O96" i="10"/>
  <c r="P140" i="10"/>
  <c r="O157" i="10"/>
  <c r="L183" i="10"/>
  <c r="O189" i="10"/>
  <c r="L187" i="10"/>
  <c r="O187" i="10" s="1"/>
  <c r="L198" i="10"/>
  <c r="O198" i="10" s="1"/>
  <c r="I233" i="10"/>
  <c r="K233" i="10" s="1"/>
  <c r="L263" i="10"/>
  <c r="O266" i="10"/>
  <c r="O280" i="10"/>
  <c r="K369" i="10"/>
  <c r="N631" i="10"/>
  <c r="N629" i="10" s="1"/>
  <c r="N632" i="10"/>
  <c r="N391" i="9"/>
  <c r="N389" i="9" s="1"/>
  <c r="N23" i="10"/>
  <c r="N21" i="10" s="1"/>
  <c r="N55" i="10"/>
  <c r="M72" i="10"/>
  <c r="P72" i="10" s="1"/>
  <c r="K99" i="10"/>
  <c r="P137" i="10"/>
  <c r="O173" i="10"/>
  <c r="L171" i="10"/>
  <c r="O171" i="10" s="1"/>
  <c r="K176" i="10"/>
  <c r="I174" i="10"/>
  <c r="L249" i="10"/>
  <c r="O249" i="10" s="1"/>
  <c r="P303" i="10"/>
  <c r="N301" i="10"/>
  <c r="I522" i="10"/>
  <c r="K522" i="10" s="1"/>
  <c r="K537" i="10"/>
  <c r="I314" i="10"/>
  <c r="K314" i="10" s="1"/>
  <c r="P316" i="10"/>
  <c r="J327" i="10"/>
  <c r="K327" i="10" s="1"/>
  <c r="I364" i="10"/>
  <c r="K365" i="10"/>
  <c r="O403" i="10"/>
  <c r="N446" i="10"/>
  <c r="L469" i="10"/>
  <c r="O469" i="10" s="1"/>
  <c r="L470" i="10"/>
  <c r="O472" i="10"/>
  <c r="N504" i="10"/>
  <c r="N502" i="10" s="1"/>
  <c r="N505" i="10"/>
  <c r="P524" i="10"/>
  <c r="M523" i="10"/>
  <c r="P523" i="10" s="1"/>
  <c r="P755" i="10"/>
  <c r="M754" i="10"/>
  <c r="P754" i="10" s="1"/>
  <c r="P333" i="10"/>
  <c r="N351" i="10"/>
  <c r="O351" i="10" s="1"/>
  <c r="P353" i="10"/>
  <c r="M395" i="10"/>
  <c r="P395" i="10" s="1"/>
  <c r="P397" i="10"/>
  <c r="P420" i="10"/>
  <c r="M419" i="10"/>
  <c r="N523" i="10"/>
  <c r="O630" i="10"/>
  <c r="P686" i="10"/>
  <c r="M685" i="10"/>
  <c r="P685" i="10" s="1"/>
  <c r="N786" i="10"/>
  <c r="N419" i="10"/>
  <c r="P445" i="10"/>
  <c r="M444" i="10"/>
  <c r="P444" i="10" s="1"/>
  <c r="J537" i="10"/>
  <c r="J522" i="10" s="1"/>
  <c r="N685" i="10"/>
  <c r="P738" i="10"/>
  <c r="M737" i="10"/>
  <c r="P737" i="10" s="1"/>
  <c r="M330" i="10"/>
  <c r="L408" i="10"/>
  <c r="O408" i="10" s="1"/>
  <c r="O468" i="10"/>
  <c r="N470" i="10"/>
  <c r="O479" i="10"/>
  <c r="K539" i="10"/>
  <c r="I592" i="10"/>
  <c r="K592" i="10" s="1"/>
  <c r="K593" i="10"/>
  <c r="I785" i="10"/>
  <c r="K785" i="10" s="1"/>
  <c r="K800" i="10"/>
  <c r="O806" i="10"/>
  <c r="L805" i="10"/>
  <c r="O805" i="10" s="1"/>
  <c r="L347" i="10"/>
  <c r="K374" i="10"/>
  <c r="M392" i="10"/>
  <c r="P392" i="10" s="1"/>
  <c r="P394" i="10"/>
  <c r="L404" i="10"/>
  <c r="O404" i="10" s="1"/>
  <c r="L632" i="10"/>
  <c r="O634" i="10"/>
  <c r="P771" i="10"/>
  <c r="M770" i="10"/>
  <c r="P770" i="10" s="1"/>
  <c r="M786" i="10"/>
  <c r="P786" i="10" s="1"/>
  <c r="M805" i="10"/>
  <c r="P805" i="10" s="1"/>
  <c r="M467" i="10"/>
  <c r="P467" i="10" s="1"/>
  <c r="L502" i="10"/>
  <c r="O502" i="10" s="1"/>
  <c r="L546" i="10"/>
  <c r="M629" i="10"/>
  <c r="P629" i="10" s="1"/>
  <c r="M502" i="10"/>
  <c r="P502" i="10" s="1"/>
  <c r="N279" i="5"/>
  <c r="N277" i="5" s="1"/>
  <c r="L135" i="7"/>
  <c r="O135" i="7" s="1"/>
  <c r="L167" i="8"/>
  <c r="L165" i="8" s="1"/>
  <c r="K370" i="8"/>
  <c r="N167" i="9"/>
  <c r="N165" i="9" s="1"/>
  <c r="I216" i="9"/>
  <c r="K216" i="9" s="1"/>
  <c r="O266" i="9"/>
  <c r="O282" i="9"/>
  <c r="P306" i="9"/>
  <c r="L318" i="9"/>
  <c r="O318" i="9" s="1"/>
  <c r="N348" i="9"/>
  <c r="O348" i="9" s="1"/>
  <c r="L429" i="9"/>
  <c r="O429" i="9" s="1"/>
  <c r="L454" i="9"/>
  <c r="O454" i="9" s="1"/>
  <c r="K561" i="9"/>
  <c r="K576" i="9"/>
  <c r="L283" i="6"/>
  <c r="O283" i="6" s="1"/>
  <c r="M404" i="8"/>
  <c r="P404" i="8" s="1"/>
  <c r="L94" i="9"/>
  <c r="O94" i="9" s="1"/>
  <c r="L122" i="9"/>
  <c r="O122" i="9" s="1"/>
  <c r="M134" i="9"/>
  <c r="M132" i="9" s="1"/>
  <c r="M168" i="9"/>
  <c r="O269" i="9"/>
  <c r="N347" i="9"/>
  <c r="N345" i="9" s="1"/>
  <c r="K374" i="9"/>
  <c r="K537" i="9"/>
  <c r="N300" i="7"/>
  <c r="N298" i="7" s="1"/>
  <c r="N134" i="9"/>
  <c r="N132" i="9" s="1"/>
  <c r="L134" i="9"/>
  <c r="L132" i="9" s="1"/>
  <c r="O186" i="9"/>
  <c r="L283" i="9"/>
  <c r="O283" i="9" s="1"/>
  <c r="O320" i="9"/>
  <c r="K338" i="9"/>
  <c r="N151" i="9"/>
  <c r="N149" i="9" s="1"/>
  <c r="K385" i="8"/>
  <c r="O58" i="9"/>
  <c r="O61" i="9"/>
  <c r="N330" i="9"/>
  <c r="N328" i="9" s="1"/>
  <c r="K355" i="9"/>
  <c r="K365" i="9"/>
  <c r="P56" i="7"/>
  <c r="P91" i="8"/>
  <c r="N134" i="8"/>
  <c r="N132" i="8" s="1"/>
  <c r="K340" i="8"/>
  <c r="L198" i="9"/>
  <c r="O198" i="9" s="1"/>
  <c r="L217" i="9"/>
  <c r="O217" i="9" s="1"/>
  <c r="O333" i="9"/>
  <c r="K370" i="9"/>
  <c r="O49" i="9"/>
  <c r="L43" i="9"/>
  <c r="L41" i="9" s="1"/>
  <c r="M279" i="9"/>
  <c r="P279" i="9" s="1"/>
  <c r="P285" i="9"/>
  <c r="M283" i="9"/>
  <c r="P283" i="9" s="1"/>
  <c r="N300" i="9"/>
  <c r="N298" i="9" s="1"/>
  <c r="N301" i="9"/>
  <c r="L334" i="9"/>
  <c r="O334" i="9" s="1"/>
  <c r="L330" i="9"/>
  <c r="L328" i="9" s="1"/>
  <c r="J433" i="9"/>
  <c r="I433" i="9"/>
  <c r="I417" i="9" s="1"/>
  <c r="L788" i="9"/>
  <c r="O788" i="9" s="1"/>
  <c r="O791" i="9"/>
  <c r="L789" i="9"/>
  <c r="O789" i="9" s="1"/>
  <c r="O74" i="7"/>
  <c r="L72" i="7"/>
  <c r="O72" i="7" s="1"/>
  <c r="K146" i="8"/>
  <c r="I130" i="8"/>
  <c r="K130" i="8" s="1"/>
  <c r="I297" i="8"/>
  <c r="K297" i="8" s="1"/>
  <c r="K309" i="8"/>
  <c r="P49" i="9"/>
  <c r="M43" i="9"/>
  <c r="M41" i="9" s="1"/>
  <c r="M26" i="9"/>
  <c r="M16" i="9" s="1"/>
  <c r="M14" i="9" s="1"/>
  <c r="M47" i="9"/>
  <c r="P47" i="9" s="1"/>
  <c r="N122" i="9"/>
  <c r="L231" i="9"/>
  <c r="M405" i="9"/>
  <c r="P405" i="9" s="1"/>
  <c r="M404" i="9"/>
  <c r="P404" i="9" s="1"/>
  <c r="P407" i="9"/>
  <c r="K435" i="9"/>
  <c r="L657" i="9"/>
  <c r="O657" i="9" s="1"/>
  <c r="O660" i="9"/>
  <c r="L68" i="7"/>
  <c r="O68" i="7" s="1"/>
  <c r="N90" i="8"/>
  <c r="N88" i="8" s="1"/>
  <c r="O140" i="8"/>
  <c r="L138" i="8"/>
  <c r="O138" i="8" s="1"/>
  <c r="L47" i="9"/>
  <c r="O47" i="9" s="1"/>
  <c r="L152" i="9"/>
  <c r="O152" i="9" s="1"/>
  <c r="L151" i="9"/>
  <c r="O154" i="9"/>
  <c r="L155" i="9"/>
  <c r="O155" i="9" s="1"/>
  <c r="O157" i="9"/>
  <c r="N168" i="9"/>
  <c r="M171" i="9"/>
  <c r="P171" i="9" s="1"/>
  <c r="L209" i="9"/>
  <c r="O209" i="9" s="1"/>
  <c r="N279" i="9"/>
  <c r="N277" i="9" s="1"/>
  <c r="P353" i="9"/>
  <c r="K359" i="9"/>
  <c r="L395" i="9"/>
  <c r="O395" i="9" s="1"/>
  <c r="O397" i="9"/>
  <c r="N404" i="9"/>
  <c r="N402" i="9" s="1"/>
  <c r="N405" i="9"/>
  <c r="O660" i="7"/>
  <c r="L657" i="7"/>
  <c r="O657" i="7" s="1"/>
  <c r="M184" i="8"/>
  <c r="M183" i="8"/>
  <c r="M181" i="8" s="1"/>
  <c r="L267" i="8"/>
  <c r="O267" i="8" s="1"/>
  <c r="O269" i="8"/>
  <c r="O528" i="8"/>
  <c r="L526" i="8"/>
  <c r="O526" i="8" s="1"/>
  <c r="N55" i="9"/>
  <c r="L90" i="9"/>
  <c r="L88" i="9" s="1"/>
  <c r="P323" i="9"/>
  <c r="M321" i="9"/>
  <c r="P321" i="9" s="1"/>
  <c r="P351" i="9"/>
  <c r="M331" i="8"/>
  <c r="P331" i="8" s="1"/>
  <c r="M330" i="8"/>
  <c r="M328" i="8" s="1"/>
  <c r="L347" i="8"/>
  <c r="L345" i="8" s="1"/>
  <c r="L121" i="9"/>
  <c r="L125" i="9"/>
  <c r="O125" i="9" s="1"/>
  <c r="O306" i="9"/>
  <c r="L300" i="9"/>
  <c r="O300" i="9" s="1"/>
  <c r="L304" i="9"/>
  <c r="O304" i="9" s="1"/>
  <c r="K372" i="9"/>
  <c r="L469" i="9"/>
  <c r="O469" i="9" s="1"/>
  <c r="K822" i="9"/>
  <c r="K828" i="9"/>
  <c r="M264" i="7"/>
  <c r="M263" i="7"/>
  <c r="M261" i="7" s="1"/>
  <c r="N267" i="7"/>
  <c r="N263" i="7"/>
  <c r="N261" i="7" s="1"/>
  <c r="P127" i="8"/>
  <c r="M125" i="8"/>
  <c r="P125" i="8" s="1"/>
  <c r="P154" i="8"/>
  <c r="I314" i="8"/>
  <c r="K314" i="8" s="1"/>
  <c r="O397" i="8"/>
  <c r="L395" i="8"/>
  <c r="O395" i="8" s="1"/>
  <c r="P135" i="9"/>
  <c r="O140" i="9"/>
  <c r="L138" i="9"/>
  <c r="O138" i="9" s="1"/>
  <c r="P331" i="9"/>
  <c r="K674" i="9"/>
  <c r="I654" i="9"/>
  <c r="K654" i="9" s="1"/>
  <c r="L90" i="7"/>
  <c r="L88" i="7" s="1"/>
  <c r="L300" i="7"/>
  <c r="O300" i="7" s="1"/>
  <c r="L152" i="8"/>
  <c r="O152" i="8" s="1"/>
  <c r="L155" i="8"/>
  <c r="O155" i="8" s="1"/>
  <c r="P58" i="9"/>
  <c r="P61" i="9"/>
  <c r="J143" i="9"/>
  <c r="J131" i="9" s="1"/>
  <c r="K131" i="9" s="1"/>
  <c r="I174" i="9"/>
  <c r="P186" i="9"/>
  <c r="L279" i="9"/>
  <c r="N317" i="9"/>
  <c r="N315" i="9" s="1"/>
  <c r="O407" i="9"/>
  <c r="K568" i="9"/>
  <c r="K577" i="9"/>
  <c r="N404" i="7"/>
  <c r="N402" i="7" s="1"/>
  <c r="O127" i="9"/>
  <c r="L228" i="9"/>
  <c r="J327" i="9"/>
  <c r="K327" i="9" s="1"/>
  <c r="L347" i="9"/>
  <c r="L345" i="9" s="1"/>
  <c r="K360" i="9"/>
  <c r="L421" i="9"/>
  <c r="O421" i="9" s="1"/>
  <c r="L217" i="8"/>
  <c r="O217" i="8" s="1"/>
  <c r="K669" i="8"/>
  <c r="L23" i="9"/>
  <c r="L21" i="9" s="1"/>
  <c r="P71" i="9"/>
  <c r="O93" i="9"/>
  <c r="O137" i="9"/>
  <c r="O170" i="9"/>
  <c r="O264" i="9"/>
  <c r="K381" i="9"/>
  <c r="K594" i="9"/>
  <c r="K821" i="9"/>
  <c r="K824" i="9"/>
  <c r="K827" i="9"/>
  <c r="P58" i="8"/>
  <c r="L135" i="9"/>
  <c r="O135" i="9" s="1"/>
  <c r="L168" i="9"/>
  <c r="P170" i="9"/>
  <c r="L263" i="9"/>
  <c r="L261" i="9" s="1"/>
  <c r="O351" i="9"/>
  <c r="K369" i="9"/>
  <c r="K462" i="7"/>
  <c r="I443" i="7"/>
  <c r="K443" i="7" s="1"/>
  <c r="P173" i="8"/>
  <c r="M171" i="8"/>
  <c r="P171" i="8" s="1"/>
  <c r="P46" i="9"/>
  <c r="N44" i="9"/>
  <c r="O44" i="9" s="1"/>
  <c r="N23" i="9"/>
  <c r="P150" i="9"/>
  <c r="P446" i="9"/>
  <c r="M444" i="9"/>
  <c r="P444" i="9" s="1"/>
  <c r="P787" i="9"/>
  <c r="M786" i="9"/>
  <c r="P786" i="9" s="1"/>
  <c r="P806" i="9"/>
  <c r="M805" i="9"/>
  <c r="P805" i="9" s="1"/>
  <c r="P266" i="7"/>
  <c r="N279" i="7"/>
  <c r="N277" i="7" s="1"/>
  <c r="L90" i="8"/>
  <c r="L88" i="8" s="1"/>
  <c r="L91" i="8"/>
  <c r="O91" i="8" s="1"/>
  <c r="M168" i="8"/>
  <c r="P168" i="8" s="1"/>
  <c r="M167" i="8"/>
  <c r="M165" i="8" s="1"/>
  <c r="O320" i="8"/>
  <c r="L318" i="8"/>
  <c r="O318" i="8" s="1"/>
  <c r="O189" i="9"/>
  <c r="L187" i="9"/>
  <c r="O187" i="9" s="1"/>
  <c r="M155" i="7"/>
  <c r="P155" i="7" s="1"/>
  <c r="L229" i="7"/>
  <c r="M267" i="7"/>
  <c r="P267" i="7" s="1"/>
  <c r="I86" i="8"/>
  <c r="K86" i="8" s="1"/>
  <c r="K145" i="8"/>
  <c r="I143" i="8"/>
  <c r="I131" i="8" s="1"/>
  <c r="K131" i="8" s="1"/>
  <c r="P410" i="8"/>
  <c r="M408" i="8"/>
  <c r="P408" i="8" s="1"/>
  <c r="O29" i="9"/>
  <c r="M31" i="9"/>
  <c r="P31" i="9" s="1"/>
  <c r="P33" i="9"/>
  <c r="M122" i="9"/>
  <c r="P122" i="9" s="1"/>
  <c r="P124" i="9"/>
  <c r="M121" i="9"/>
  <c r="I208" i="9"/>
  <c r="K208" i="9" s="1"/>
  <c r="I233" i="9"/>
  <c r="K233" i="9" s="1"/>
  <c r="K255" i="9"/>
  <c r="N26" i="9"/>
  <c r="N263" i="9"/>
  <c r="I592" i="9"/>
  <c r="M94" i="9"/>
  <c r="P94" i="9" s="1"/>
  <c r="P96" i="9"/>
  <c r="O630" i="9"/>
  <c r="M300" i="7"/>
  <c r="M298" i="7" s="1"/>
  <c r="P298" i="7" s="1"/>
  <c r="I148" i="8"/>
  <c r="K148" i="8" s="1"/>
  <c r="K159" i="8"/>
  <c r="L264" i="8"/>
  <c r="O264" i="8" s="1"/>
  <c r="L263" i="8"/>
  <c r="M351" i="8"/>
  <c r="M347" i="8"/>
  <c r="M345" i="8" s="1"/>
  <c r="P397" i="8"/>
  <c r="M395" i="8"/>
  <c r="P395" i="8" s="1"/>
  <c r="M391" i="8"/>
  <c r="O535" i="8"/>
  <c r="L533" i="8"/>
  <c r="O533" i="8" s="1"/>
  <c r="L9" i="9"/>
  <c r="N9" i="9"/>
  <c r="O32" i="9"/>
  <c r="N43" i="9"/>
  <c r="O120" i="9"/>
  <c r="M125" i="9"/>
  <c r="P125" i="9" s="1"/>
  <c r="P127" i="9"/>
  <c r="P262" i="9"/>
  <c r="J143" i="7"/>
  <c r="J131" i="7" s="1"/>
  <c r="P285" i="8"/>
  <c r="M283" i="8"/>
  <c r="P283" i="8" s="1"/>
  <c r="O424" i="8"/>
  <c r="L33" i="8"/>
  <c r="O690" i="8"/>
  <c r="L688" i="8"/>
  <c r="O688" i="8" s="1"/>
  <c r="O12" i="9"/>
  <c r="O15" i="9"/>
  <c r="O19" i="9"/>
  <c r="P74" i="9"/>
  <c r="M72" i="9"/>
  <c r="P72" i="9" s="1"/>
  <c r="M68" i="9"/>
  <c r="I76" i="9"/>
  <c r="K82" i="9"/>
  <c r="K115" i="9"/>
  <c r="I112" i="9"/>
  <c r="K112" i="9" s="1"/>
  <c r="L238" i="9"/>
  <c r="L229" i="9"/>
  <c r="I434" i="9"/>
  <c r="K438" i="9"/>
  <c r="L632" i="9"/>
  <c r="O634" i="9"/>
  <c r="L631" i="9"/>
  <c r="O631" i="9" s="1"/>
  <c r="L33" i="9"/>
  <c r="L31" i="9" s="1"/>
  <c r="O31" i="9" s="1"/>
  <c r="L183" i="8"/>
  <c r="O336" i="8"/>
  <c r="M405" i="8"/>
  <c r="P405" i="8" s="1"/>
  <c r="K647" i="8"/>
  <c r="L69" i="9"/>
  <c r="O71" i="9"/>
  <c r="M91" i="9"/>
  <c r="P93" i="9"/>
  <c r="P120" i="9"/>
  <c r="M155" i="9"/>
  <c r="P155" i="9" s="1"/>
  <c r="P157" i="9"/>
  <c r="M264" i="9"/>
  <c r="P264" i="9" s="1"/>
  <c r="P266" i="9"/>
  <c r="M301" i="9"/>
  <c r="P301" i="9" s="1"/>
  <c r="P303" i="9"/>
  <c r="M300" i="9"/>
  <c r="P300" i="9" s="1"/>
  <c r="P350" i="9"/>
  <c r="M347" i="9"/>
  <c r="N263" i="8"/>
  <c r="N261" i="8" s="1"/>
  <c r="O301" i="8"/>
  <c r="N317" i="8"/>
  <c r="N315" i="8" s="1"/>
  <c r="I364" i="8"/>
  <c r="K594" i="8"/>
  <c r="K822" i="8"/>
  <c r="K825" i="8"/>
  <c r="K828" i="8"/>
  <c r="L26" i="9"/>
  <c r="L24" i="9" s="1"/>
  <c r="M28" i="9"/>
  <c r="P28" i="9" s="1"/>
  <c r="M34" i="9"/>
  <c r="P34" i="9" s="1"/>
  <c r="O67" i="9"/>
  <c r="L72" i="9"/>
  <c r="O72" i="9" s="1"/>
  <c r="O74" i="9"/>
  <c r="P89" i="9"/>
  <c r="I87" i="9"/>
  <c r="K87" i="9" s="1"/>
  <c r="K99" i="9"/>
  <c r="L171" i="9"/>
  <c r="O171" i="9" s="1"/>
  <c r="L184" i="9"/>
  <c r="M267" i="9"/>
  <c r="P267" i="9" s="1"/>
  <c r="P269" i="9"/>
  <c r="P333" i="9"/>
  <c r="M330" i="9"/>
  <c r="M348" i="9"/>
  <c r="N419" i="9"/>
  <c r="O445" i="9"/>
  <c r="K651" i="9"/>
  <c r="J628" i="9"/>
  <c r="K628" i="9" s="1"/>
  <c r="O656" i="9"/>
  <c r="N347" i="7"/>
  <c r="N345" i="7" s="1"/>
  <c r="K675" i="8"/>
  <c r="M12" i="9"/>
  <c r="M19" i="9"/>
  <c r="O46" i="9"/>
  <c r="K79" i="9"/>
  <c r="I77" i="9"/>
  <c r="L392" i="9"/>
  <c r="O392" i="9" s="1"/>
  <c r="O394" i="9"/>
  <c r="L391" i="9"/>
  <c r="O391" i="9" s="1"/>
  <c r="P631" i="9"/>
  <c r="M629" i="9"/>
  <c r="P629" i="9" s="1"/>
  <c r="O690" i="9"/>
  <c r="L687" i="9"/>
  <c r="L688" i="9"/>
  <c r="O688" i="9" s="1"/>
  <c r="L26" i="8"/>
  <c r="L24" i="8" s="1"/>
  <c r="L231" i="8"/>
  <c r="P333" i="8"/>
  <c r="J364" i="8"/>
  <c r="K381" i="8"/>
  <c r="M90" i="9"/>
  <c r="K145" i="9"/>
  <c r="M152" i="9"/>
  <c r="P152" i="9" s="1"/>
  <c r="P154" i="9"/>
  <c r="L183" i="9"/>
  <c r="L181" i="9" s="1"/>
  <c r="P316" i="9"/>
  <c r="P394" i="9"/>
  <c r="M391" i="9"/>
  <c r="L447" i="9"/>
  <c r="O449" i="9"/>
  <c r="L446" i="9"/>
  <c r="O446" i="9" s="1"/>
  <c r="O787" i="9"/>
  <c r="K460" i="9"/>
  <c r="I442" i="9"/>
  <c r="K442" i="9" s="1"/>
  <c r="M655" i="9"/>
  <c r="P655" i="9" s="1"/>
  <c r="K146" i="9"/>
  <c r="I197" i="9"/>
  <c r="K197" i="9" s="1"/>
  <c r="N444" i="9"/>
  <c r="N447" i="9"/>
  <c r="O479" i="9"/>
  <c r="O549" i="9"/>
  <c r="L547" i="9"/>
  <c r="O547" i="9" s="1"/>
  <c r="N629" i="9"/>
  <c r="N632" i="9"/>
  <c r="I785" i="9"/>
  <c r="K785" i="9" s="1"/>
  <c r="K800" i="9"/>
  <c r="I237" i="9"/>
  <c r="L249" i="9"/>
  <c r="O249" i="9" s="1"/>
  <c r="O329" i="9"/>
  <c r="O346" i="9"/>
  <c r="P419" i="9"/>
  <c r="N467" i="9"/>
  <c r="N504" i="9"/>
  <c r="J559" i="9"/>
  <c r="J593" i="9"/>
  <c r="J592" i="9" s="1"/>
  <c r="K673" i="9"/>
  <c r="K669" i="9"/>
  <c r="K672" i="9"/>
  <c r="K675" i="9"/>
  <c r="P686" i="9"/>
  <c r="M685" i="9"/>
  <c r="P685" i="9" s="1"/>
  <c r="N737" i="9"/>
  <c r="N754" i="9"/>
  <c r="N770" i="9"/>
  <c r="I297" i="9"/>
  <c r="K297" i="9" s="1"/>
  <c r="O331" i="9"/>
  <c r="O336" i="9"/>
  <c r="O353" i="9"/>
  <c r="O390" i="9"/>
  <c r="O403" i="9"/>
  <c r="P410" i="9"/>
  <c r="O420" i="9"/>
  <c r="L422" i="9"/>
  <c r="O422" i="9" s="1"/>
  <c r="O424" i="9"/>
  <c r="N502" i="9"/>
  <c r="P524" i="9"/>
  <c r="M523" i="9"/>
  <c r="P523" i="9" s="1"/>
  <c r="J537" i="9"/>
  <c r="J522" i="9" s="1"/>
  <c r="L525" i="9"/>
  <c r="L632" i="6"/>
  <c r="O632" i="6" s="1"/>
  <c r="N90" i="6"/>
  <c r="N88" i="6" s="1"/>
  <c r="L183" i="7"/>
  <c r="L181" i="7" s="1"/>
  <c r="L217" i="7"/>
  <c r="O217" i="7" s="1"/>
  <c r="L279" i="7"/>
  <c r="M304" i="7"/>
  <c r="P304" i="7" s="1"/>
  <c r="N348" i="7"/>
  <c r="P348" i="7" s="1"/>
  <c r="J721" i="7"/>
  <c r="N43" i="8"/>
  <c r="N41" i="8" s="1"/>
  <c r="L47" i="8"/>
  <c r="O47" i="8" s="1"/>
  <c r="N55" i="8"/>
  <c r="N53" i="8" s="1"/>
  <c r="L209" i="8"/>
  <c r="O209" i="8" s="1"/>
  <c r="P303" i="8"/>
  <c r="L321" i="8"/>
  <c r="O321" i="8" s="1"/>
  <c r="P336" i="8"/>
  <c r="K378" i="8"/>
  <c r="K435" i="8"/>
  <c r="O56" i="8"/>
  <c r="M122" i="8"/>
  <c r="P122" i="8" s="1"/>
  <c r="P124" i="8"/>
  <c r="M152" i="8"/>
  <c r="P152" i="8" s="1"/>
  <c r="I233" i="8"/>
  <c r="K233" i="8" s="1"/>
  <c r="L228" i="8"/>
  <c r="N300" i="8"/>
  <c r="N298" i="8" s="1"/>
  <c r="K537" i="8"/>
  <c r="L43" i="7"/>
  <c r="L41" i="7" s="1"/>
  <c r="M55" i="7"/>
  <c r="M53" i="7" s="1"/>
  <c r="K338" i="7"/>
  <c r="O49" i="8"/>
  <c r="M55" i="8"/>
  <c r="M53" i="8" s="1"/>
  <c r="I76" i="8"/>
  <c r="I64" i="8" s="1"/>
  <c r="K64" i="8" s="1"/>
  <c r="M90" i="8"/>
  <c r="M88" i="8" s="1"/>
  <c r="O303" i="8"/>
  <c r="K359" i="8"/>
  <c r="K374" i="8"/>
  <c r="L36" i="8"/>
  <c r="O36" i="8" s="1"/>
  <c r="K672" i="8"/>
  <c r="O58" i="7"/>
  <c r="M69" i="7"/>
  <c r="P69" i="7" s="1"/>
  <c r="N183" i="7"/>
  <c r="N181" i="7" s="1"/>
  <c r="K359" i="7"/>
  <c r="J722" i="7"/>
  <c r="L43" i="8"/>
  <c r="L41" i="8" s="1"/>
  <c r="M68" i="8"/>
  <c r="M66" i="8" s="1"/>
  <c r="O93" i="8"/>
  <c r="L230" i="8"/>
  <c r="K674" i="8"/>
  <c r="K821" i="8"/>
  <c r="K824" i="8"/>
  <c r="K827" i="8"/>
  <c r="P353" i="7"/>
  <c r="L59" i="8"/>
  <c r="O59" i="8" s="1"/>
  <c r="K369" i="8"/>
  <c r="M347" i="5"/>
  <c r="M345" i="5" s="1"/>
  <c r="N55" i="6"/>
  <c r="N53" i="6" s="1"/>
  <c r="L134" i="6"/>
  <c r="L132" i="6" s="1"/>
  <c r="L171" i="6"/>
  <c r="O171" i="6" s="1"/>
  <c r="I208" i="7"/>
  <c r="K208" i="7" s="1"/>
  <c r="O431" i="7"/>
  <c r="O791" i="7"/>
  <c r="J785" i="7"/>
  <c r="P49" i="8"/>
  <c r="L69" i="8"/>
  <c r="O69" i="8" s="1"/>
  <c r="L72" i="8"/>
  <c r="O72" i="8" s="1"/>
  <c r="L125" i="8"/>
  <c r="O125" i="8" s="1"/>
  <c r="J143" i="8"/>
  <c r="J131" i="8" s="1"/>
  <c r="M155" i="8"/>
  <c r="P155" i="8" s="1"/>
  <c r="M187" i="8"/>
  <c r="P187" i="8" s="1"/>
  <c r="I190" i="8"/>
  <c r="K190" i="8" s="1"/>
  <c r="K244" i="8"/>
  <c r="L279" i="8"/>
  <c r="L277" i="8" s="1"/>
  <c r="J327" i="8"/>
  <c r="K327" i="8" s="1"/>
  <c r="O350" i="8"/>
  <c r="P394" i="8"/>
  <c r="M392" i="8"/>
  <c r="P392" i="8" s="1"/>
  <c r="K462" i="8"/>
  <c r="I443" i="8"/>
  <c r="K443" i="8" s="1"/>
  <c r="L789" i="8"/>
  <c r="O789" i="8" s="1"/>
  <c r="L788" i="8"/>
  <c r="O788" i="8" s="1"/>
  <c r="L470" i="4"/>
  <c r="O470" i="4" s="1"/>
  <c r="I248" i="7"/>
  <c r="K248" i="7" s="1"/>
  <c r="O353" i="7"/>
  <c r="J364" i="7"/>
  <c r="L658" i="7"/>
  <c r="O658" i="7" s="1"/>
  <c r="L23" i="8"/>
  <c r="L44" i="8"/>
  <c r="O44" i="8" s="1"/>
  <c r="O46" i="8"/>
  <c r="K99" i="8"/>
  <c r="L135" i="8"/>
  <c r="O135" i="8" s="1"/>
  <c r="M151" i="8"/>
  <c r="M149" i="8" s="1"/>
  <c r="M280" i="8"/>
  <c r="O333" i="8"/>
  <c r="L331" i="8"/>
  <c r="O331" i="8" s="1"/>
  <c r="K379" i="8"/>
  <c r="L421" i="8"/>
  <c r="L419" i="8" s="1"/>
  <c r="O431" i="8"/>
  <c r="L446" i="8"/>
  <c r="O446" i="8" s="1"/>
  <c r="L631" i="8"/>
  <c r="O631" i="8" s="1"/>
  <c r="K824" i="5"/>
  <c r="O323" i="7"/>
  <c r="O333" i="7"/>
  <c r="K370" i="7"/>
  <c r="P46" i="8"/>
  <c r="P96" i="8"/>
  <c r="O137" i="8"/>
  <c r="K224" i="8"/>
  <c r="I216" i="8"/>
  <c r="K216" i="8" s="1"/>
  <c r="J288" i="8"/>
  <c r="I275" i="8"/>
  <c r="N348" i="8"/>
  <c r="O348" i="8" s="1"/>
  <c r="P350" i="8"/>
  <c r="K362" i="8"/>
  <c r="O456" i="8"/>
  <c r="L454" i="8"/>
  <c r="O454" i="8" s="1"/>
  <c r="M94" i="8"/>
  <c r="P94" i="8" s="1"/>
  <c r="L167" i="7"/>
  <c r="L165" i="7" s="1"/>
  <c r="J433" i="7"/>
  <c r="J417" i="7" s="1"/>
  <c r="I237" i="8"/>
  <c r="K237" i="8" s="1"/>
  <c r="M121" i="6"/>
  <c r="M119" i="6" s="1"/>
  <c r="L229" i="6"/>
  <c r="M125" i="7"/>
  <c r="P125" i="7" s="1"/>
  <c r="M138" i="7"/>
  <c r="P138" i="7" s="1"/>
  <c r="K379" i="7"/>
  <c r="K435" i="7"/>
  <c r="M43" i="8"/>
  <c r="I77" i="8"/>
  <c r="K80" i="8"/>
  <c r="L122" i="8"/>
  <c r="O122" i="8" s="1"/>
  <c r="O641" i="8"/>
  <c r="K651" i="8"/>
  <c r="I628" i="8"/>
  <c r="K628" i="8" s="1"/>
  <c r="M304" i="8"/>
  <c r="P304" i="8" s="1"/>
  <c r="O353" i="8"/>
  <c r="K649" i="8"/>
  <c r="K723" i="8"/>
  <c r="M263" i="8"/>
  <c r="K720" i="8"/>
  <c r="K823" i="8"/>
  <c r="K826" i="8"/>
  <c r="N279" i="8"/>
  <c r="N277" i="8" s="1"/>
  <c r="K338" i="8"/>
  <c r="J433" i="8"/>
  <c r="J417" i="8" s="1"/>
  <c r="K673" i="8"/>
  <c r="O687" i="8"/>
  <c r="P69" i="8"/>
  <c r="O336" i="6"/>
  <c r="L334" i="6"/>
  <c r="O334" i="6" s="1"/>
  <c r="I148" i="7"/>
  <c r="K148" i="7" s="1"/>
  <c r="K159" i="7"/>
  <c r="L330" i="6"/>
  <c r="L328" i="6" s="1"/>
  <c r="O407" i="7"/>
  <c r="L405" i="7"/>
  <c r="O405" i="7" s="1"/>
  <c r="P44" i="8"/>
  <c r="J288" i="6"/>
  <c r="J275" i="6" s="1"/>
  <c r="I275" i="6"/>
  <c r="N392" i="7"/>
  <c r="N391" i="7"/>
  <c r="N389" i="7" s="1"/>
  <c r="N167" i="7"/>
  <c r="N165" i="7" s="1"/>
  <c r="N168" i="7"/>
  <c r="P168" i="7" s="1"/>
  <c r="P19" i="8"/>
  <c r="P807" i="8"/>
  <c r="M805" i="8"/>
  <c r="P805" i="8" s="1"/>
  <c r="M267" i="8"/>
  <c r="P267" i="8" s="1"/>
  <c r="P269" i="8"/>
  <c r="M155" i="5"/>
  <c r="P155" i="5" s="1"/>
  <c r="N151" i="6"/>
  <c r="N149" i="6" s="1"/>
  <c r="P170" i="7"/>
  <c r="J327" i="7"/>
  <c r="K327" i="7" s="1"/>
  <c r="K649" i="7"/>
  <c r="N12" i="8"/>
  <c r="M23" i="8"/>
  <c r="M26" i="8"/>
  <c r="N31" i="8"/>
  <c r="O35" i="8"/>
  <c r="P36" i="8"/>
  <c r="O58" i="8"/>
  <c r="N68" i="8"/>
  <c r="O71" i="8"/>
  <c r="P74" i="8"/>
  <c r="P93" i="8"/>
  <c r="I112" i="8"/>
  <c r="K112" i="8" s="1"/>
  <c r="L121" i="8"/>
  <c r="P140" i="8"/>
  <c r="M138" i="8"/>
  <c r="P138" i="8" s="1"/>
  <c r="K144" i="8"/>
  <c r="N151" i="8"/>
  <c r="P170" i="8"/>
  <c r="L198" i="8"/>
  <c r="O198" i="8" s="1"/>
  <c r="N351" i="8"/>
  <c r="O351" i="8" s="1"/>
  <c r="P353" i="8"/>
  <c r="N347" i="8"/>
  <c r="K365" i="8"/>
  <c r="I434" i="8"/>
  <c r="K440" i="8"/>
  <c r="L447" i="8"/>
  <c r="O447" i="8" s="1"/>
  <c r="O449" i="8"/>
  <c r="P771" i="8"/>
  <c r="M770" i="8"/>
  <c r="P770" i="8" s="1"/>
  <c r="I76" i="7"/>
  <c r="I64" i="7" s="1"/>
  <c r="K64" i="7" s="1"/>
  <c r="O124" i="7"/>
  <c r="M317" i="7"/>
  <c r="P317" i="7" s="1"/>
  <c r="L446" i="7"/>
  <c r="O446" i="7" s="1"/>
  <c r="K822" i="7"/>
  <c r="K825" i="7"/>
  <c r="K828" i="7"/>
  <c r="O15" i="8"/>
  <c r="N26" i="8"/>
  <c r="P56" i="8"/>
  <c r="P61" i="8"/>
  <c r="P71" i="8"/>
  <c r="O154" i="8"/>
  <c r="P320" i="8"/>
  <c r="M317" i="8"/>
  <c r="P317" i="8" s="1"/>
  <c r="P12" i="8"/>
  <c r="L171" i="8"/>
  <c r="O171" i="8" s="1"/>
  <c r="O173" i="8"/>
  <c r="O59" i="7"/>
  <c r="N134" i="7"/>
  <c r="N132" i="7" s="1"/>
  <c r="I216" i="7"/>
  <c r="K216" i="7" s="1"/>
  <c r="P25" i="8"/>
  <c r="M15" i="8"/>
  <c r="M9" i="8" s="1"/>
  <c r="L55" i="8"/>
  <c r="N121" i="8"/>
  <c r="N119" i="8" s="1"/>
  <c r="P137" i="8"/>
  <c r="M135" i="8"/>
  <c r="P135" i="8" s="1"/>
  <c r="L184" i="8"/>
  <c r="O186" i="8"/>
  <c r="I197" i="8"/>
  <c r="K197" i="8" s="1"/>
  <c r="I208" i="8"/>
  <c r="K208" i="8" s="1"/>
  <c r="K255" i="8"/>
  <c r="I248" i="8"/>
  <c r="O262" i="8"/>
  <c r="P278" i="8"/>
  <c r="N280" i="8"/>
  <c r="O280" i="8" s="1"/>
  <c r="P282" i="8"/>
  <c r="O468" i="8"/>
  <c r="K539" i="8"/>
  <c r="J537" i="8"/>
  <c r="J522" i="8" s="1"/>
  <c r="K559" i="8"/>
  <c r="I543" i="8"/>
  <c r="K543" i="8" s="1"/>
  <c r="M59" i="8"/>
  <c r="P59" i="8" s="1"/>
  <c r="L347" i="5"/>
  <c r="N183" i="6"/>
  <c r="N181" i="6" s="1"/>
  <c r="N317" i="6"/>
  <c r="N315" i="6" s="1"/>
  <c r="P59" i="7"/>
  <c r="N135" i="7"/>
  <c r="L138" i="7"/>
  <c r="O138" i="7" s="1"/>
  <c r="P154" i="7"/>
  <c r="M321" i="7"/>
  <c r="P321" i="7" s="1"/>
  <c r="L525" i="7"/>
  <c r="O525" i="7" s="1"/>
  <c r="K647" i="7"/>
  <c r="P32" i="8"/>
  <c r="M29" i="8"/>
  <c r="N23" i="8"/>
  <c r="N167" i="8"/>
  <c r="L168" i="8"/>
  <c r="O168" i="8" s="1"/>
  <c r="O170" i="8"/>
  <c r="L187" i="8"/>
  <c r="O187" i="8" s="1"/>
  <c r="O189" i="8"/>
  <c r="M264" i="8"/>
  <c r="P264" i="8" s="1"/>
  <c r="P266" i="8"/>
  <c r="L304" i="8"/>
  <c r="O304" i="8" s="1"/>
  <c r="O306" i="8"/>
  <c r="L300" i="8"/>
  <c r="K372" i="8"/>
  <c r="K340" i="6"/>
  <c r="L9" i="8"/>
  <c r="I174" i="8"/>
  <c r="K176" i="8"/>
  <c r="P182" i="8"/>
  <c r="P186" i="8"/>
  <c r="N184" i="8"/>
  <c r="L238" i="8"/>
  <c r="O394" i="8"/>
  <c r="L391" i="8"/>
  <c r="N405" i="8"/>
  <c r="N404" i="8"/>
  <c r="N402" i="8" s="1"/>
  <c r="I417" i="8"/>
  <c r="O282" i="8"/>
  <c r="O285" i="8"/>
  <c r="M301" i="8"/>
  <c r="P301" i="8" s="1"/>
  <c r="N304" i="8"/>
  <c r="L317" i="8"/>
  <c r="O317" i="8" s="1"/>
  <c r="O407" i="8"/>
  <c r="O557" i="8"/>
  <c r="L546" i="8"/>
  <c r="L555" i="8"/>
  <c r="O555" i="8" s="1"/>
  <c r="K577" i="8"/>
  <c r="P788" i="8"/>
  <c r="M786" i="8"/>
  <c r="P786" i="8" s="1"/>
  <c r="I785" i="8"/>
  <c r="K785" i="8" s="1"/>
  <c r="K800" i="8"/>
  <c r="O806" i="8"/>
  <c r="L805" i="8"/>
  <c r="O805" i="8" s="1"/>
  <c r="P687" i="8"/>
  <c r="M685" i="8"/>
  <c r="P685" i="8" s="1"/>
  <c r="P755" i="8"/>
  <c r="M754" i="8"/>
  <c r="P754" i="8" s="1"/>
  <c r="O787" i="8"/>
  <c r="M300" i="8"/>
  <c r="L330" i="8"/>
  <c r="K355" i="8"/>
  <c r="N391" i="8"/>
  <c r="N389" i="8" s="1"/>
  <c r="I442" i="8"/>
  <c r="K442" i="8" s="1"/>
  <c r="M444" i="8"/>
  <c r="P444" i="8" s="1"/>
  <c r="O479" i="8"/>
  <c r="L469" i="8"/>
  <c r="O469" i="8" s="1"/>
  <c r="L525" i="8"/>
  <c r="O525" i="8" s="1"/>
  <c r="N526" i="8"/>
  <c r="K620" i="8"/>
  <c r="O686" i="8"/>
  <c r="L685" i="8"/>
  <c r="N805" i="8"/>
  <c r="L249" i="8"/>
  <c r="O249" i="8" s="1"/>
  <c r="L502" i="8"/>
  <c r="O502" i="8" s="1"/>
  <c r="L632" i="8"/>
  <c r="O632" i="8" s="1"/>
  <c r="O634" i="8"/>
  <c r="P738" i="8"/>
  <c r="M737" i="8"/>
  <c r="P737" i="8" s="1"/>
  <c r="N330" i="8"/>
  <c r="L404" i="8"/>
  <c r="N544" i="8"/>
  <c r="N414" i="8" s="1"/>
  <c r="N685" i="8"/>
  <c r="L658" i="8"/>
  <c r="O658" i="8" s="1"/>
  <c r="O791" i="8"/>
  <c r="K593" i="8"/>
  <c r="M629" i="8"/>
  <c r="P629" i="8" s="1"/>
  <c r="K576" i="8"/>
  <c r="L68" i="6"/>
  <c r="O68" i="6" s="1"/>
  <c r="M23" i="7"/>
  <c r="M13" i="7" s="1"/>
  <c r="O56" i="7"/>
  <c r="M72" i="7"/>
  <c r="P72" i="7" s="1"/>
  <c r="M94" i="7"/>
  <c r="P94" i="7" s="1"/>
  <c r="I112" i="7"/>
  <c r="K112" i="7" s="1"/>
  <c r="L230" i="7"/>
  <c r="L231" i="7"/>
  <c r="N280" i="7"/>
  <c r="O280" i="7" s="1"/>
  <c r="O282" i="7"/>
  <c r="K309" i="7"/>
  <c r="M318" i="7"/>
  <c r="P318" i="7" s="1"/>
  <c r="M334" i="7"/>
  <c r="P334" i="7" s="1"/>
  <c r="N330" i="7"/>
  <c r="N328" i="7" s="1"/>
  <c r="N405" i="7"/>
  <c r="L639" i="7"/>
  <c r="O639" i="7" s="1"/>
  <c r="K821" i="7"/>
  <c r="K824" i="7"/>
  <c r="K827" i="7"/>
  <c r="M334" i="5"/>
  <c r="P334" i="5" s="1"/>
  <c r="P58" i="7"/>
  <c r="K145" i="7"/>
  <c r="M151" i="7"/>
  <c r="M149" i="7" s="1"/>
  <c r="O285" i="7"/>
  <c r="O320" i="7"/>
  <c r="P350" i="7"/>
  <c r="O351" i="7"/>
  <c r="K378" i="7"/>
  <c r="L33" i="7"/>
  <c r="L31" i="7" s="1"/>
  <c r="O31" i="7" s="1"/>
  <c r="P186" i="7"/>
  <c r="P320" i="7"/>
  <c r="L631" i="7"/>
  <c r="L629" i="7" s="1"/>
  <c r="M68" i="6"/>
  <c r="P68" i="6" s="1"/>
  <c r="L249" i="7"/>
  <c r="O249" i="7" s="1"/>
  <c r="M351" i="7"/>
  <c r="P351" i="7" s="1"/>
  <c r="K369" i="7"/>
  <c r="L421" i="7"/>
  <c r="O421" i="7" s="1"/>
  <c r="O472" i="7"/>
  <c r="K593" i="7"/>
  <c r="L632" i="7"/>
  <c r="O632" i="7" s="1"/>
  <c r="P348" i="6"/>
  <c r="I559" i="6"/>
  <c r="I543" i="6" s="1"/>
  <c r="K543" i="6" s="1"/>
  <c r="K78" i="7"/>
  <c r="M90" i="7"/>
  <c r="M122" i="7"/>
  <c r="P122" i="7" s="1"/>
  <c r="M279" i="7"/>
  <c r="I785" i="7"/>
  <c r="K823" i="7"/>
  <c r="K826" i="7"/>
  <c r="K143" i="7"/>
  <c r="I131" i="7"/>
  <c r="K131" i="7" s="1"/>
  <c r="K271" i="7"/>
  <c r="I260" i="7"/>
  <c r="K260" i="7" s="1"/>
  <c r="I434" i="7"/>
  <c r="K438" i="7"/>
  <c r="L555" i="7"/>
  <c r="O555" i="7" s="1"/>
  <c r="O557" i="7"/>
  <c r="M69" i="6"/>
  <c r="P69" i="6" s="1"/>
  <c r="M90" i="6"/>
  <c r="M88" i="6" s="1"/>
  <c r="L36" i="7"/>
  <c r="O36" i="7" s="1"/>
  <c r="N69" i="7"/>
  <c r="O71" i="7"/>
  <c r="M91" i="7"/>
  <c r="P91" i="7" s="1"/>
  <c r="N90" i="7"/>
  <c r="N88" i="7" s="1"/>
  <c r="M121" i="7"/>
  <c r="P121" i="7" s="1"/>
  <c r="M135" i="7"/>
  <c r="P135" i="7" s="1"/>
  <c r="M167" i="7"/>
  <c r="O170" i="7"/>
  <c r="M187" i="7"/>
  <c r="P187" i="7" s="1"/>
  <c r="K193" i="7"/>
  <c r="L238" i="7"/>
  <c r="O238" i="7" s="1"/>
  <c r="I276" i="7"/>
  <c r="K276" i="7" s="1"/>
  <c r="K374" i="7"/>
  <c r="K381" i="7"/>
  <c r="L391" i="7"/>
  <c r="O391" i="7" s="1"/>
  <c r="O410" i="7"/>
  <c r="L404" i="7"/>
  <c r="O404" i="7" s="1"/>
  <c r="I433" i="7"/>
  <c r="L469" i="7"/>
  <c r="K822" i="5"/>
  <c r="I364" i="6"/>
  <c r="I433" i="6"/>
  <c r="I417" i="6" s="1"/>
  <c r="K700" i="6"/>
  <c r="L23" i="7"/>
  <c r="L21" i="7" s="1"/>
  <c r="N151" i="7"/>
  <c r="N149" i="7" s="1"/>
  <c r="L317" i="7"/>
  <c r="M347" i="7"/>
  <c r="K355" i="7"/>
  <c r="P397" i="7"/>
  <c r="M395" i="7"/>
  <c r="P395" i="7" s="1"/>
  <c r="P46" i="7"/>
  <c r="O61" i="7"/>
  <c r="O154" i="7"/>
  <c r="M183" i="7"/>
  <c r="K190" i="7"/>
  <c r="K360" i="7"/>
  <c r="O394" i="7"/>
  <c r="O61" i="6"/>
  <c r="I208" i="6"/>
  <c r="K208" i="6" s="1"/>
  <c r="L217" i="6"/>
  <c r="O217" i="6" s="1"/>
  <c r="L263" i="6"/>
  <c r="L261" i="6" s="1"/>
  <c r="P44" i="7"/>
  <c r="N43" i="7"/>
  <c r="M134" i="7"/>
  <c r="P184" i="7"/>
  <c r="P303" i="7"/>
  <c r="M301" i="7"/>
  <c r="P301" i="7" s="1"/>
  <c r="K576" i="7"/>
  <c r="I559" i="7"/>
  <c r="K559" i="7" s="1"/>
  <c r="K826" i="5"/>
  <c r="N318" i="6"/>
  <c r="P318" i="6" s="1"/>
  <c r="M330" i="6"/>
  <c r="M328" i="6" s="1"/>
  <c r="K369" i="6"/>
  <c r="K372" i="6"/>
  <c r="K821" i="6"/>
  <c r="K824" i="6"/>
  <c r="K827" i="6"/>
  <c r="M26" i="7"/>
  <c r="M16" i="7" s="1"/>
  <c r="L47" i="7"/>
  <c r="O47" i="7" s="1"/>
  <c r="N55" i="7"/>
  <c r="L69" i="7"/>
  <c r="O69" i="7" s="1"/>
  <c r="I86" i="7"/>
  <c r="K86" i="7" s="1"/>
  <c r="P173" i="7"/>
  <c r="L228" i="7"/>
  <c r="K244" i="7"/>
  <c r="I233" i="7"/>
  <c r="K233" i="7" s="1"/>
  <c r="L334" i="7"/>
  <c r="O334" i="7" s="1"/>
  <c r="O336" i="7"/>
  <c r="I364" i="7"/>
  <c r="L533" i="7"/>
  <c r="O533" i="7" s="1"/>
  <c r="O535" i="7"/>
  <c r="K651" i="7"/>
  <c r="I628" i="7"/>
  <c r="K628" i="7" s="1"/>
  <c r="K801" i="7"/>
  <c r="O186" i="7"/>
  <c r="O331" i="7"/>
  <c r="K385" i="7"/>
  <c r="L209" i="7"/>
  <c r="O209" i="7" s="1"/>
  <c r="K340" i="7"/>
  <c r="K372" i="7"/>
  <c r="O788" i="7"/>
  <c r="I87" i="4"/>
  <c r="K87" i="4" s="1"/>
  <c r="K98" i="4"/>
  <c r="K438" i="5"/>
  <c r="I434" i="5"/>
  <c r="K434" i="5" s="1"/>
  <c r="N264" i="6"/>
  <c r="O264" i="6" s="1"/>
  <c r="N263" i="6"/>
  <c r="N261" i="6" s="1"/>
  <c r="L279" i="3"/>
  <c r="L277" i="3" s="1"/>
  <c r="L429" i="6"/>
  <c r="O429" i="6" s="1"/>
  <c r="L36" i="6"/>
  <c r="O36" i="6" s="1"/>
  <c r="P137" i="6"/>
  <c r="M135" i="6"/>
  <c r="P135" i="6" s="1"/>
  <c r="O9" i="7"/>
  <c r="L155" i="7"/>
  <c r="O155" i="7" s="1"/>
  <c r="O157" i="7"/>
  <c r="N321" i="7"/>
  <c r="N317" i="7"/>
  <c r="N315" i="7" s="1"/>
  <c r="N167" i="4"/>
  <c r="N165" i="4" s="1"/>
  <c r="L167" i="5"/>
  <c r="L165" i="5" s="1"/>
  <c r="P333" i="5"/>
  <c r="M43" i="6"/>
  <c r="M41" i="6" s="1"/>
  <c r="M72" i="6"/>
  <c r="P72" i="6" s="1"/>
  <c r="L90" i="6"/>
  <c r="I174" i="6"/>
  <c r="K174" i="6" s="1"/>
  <c r="K338" i="6"/>
  <c r="M12" i="7"/>
  <c r="M15" i="7"/>
  <c r="L19" i="7"/>
  <c r="N23" i="7"/>
  <c r="N21" i="7" s="1"/>
  <c r="L26" i="7"/>
  <c r="L44" i="7"/>
  <c r="O44" i="7" s="1"/>
  <c r="M47" i="7"/>
  <c r="P47" i="7" s="1"/>
  <c r="L55" i="7"/>
  <c r="P61" i="7"/>
  <c r="K79" i="7"/>
  <c r="I77" i="7"/>
  <c r="N121" i="7"/>
  <c r="N119" i="7" s="1"/>
  <c r="L198" i="7"/>
  <c r="O198" i="7" s="1"/>
  <c r="L301" i="7"/>
  <c r="O301" i="7" s="1"/>
  <c r="O303" i="7"/>
  <c r="O12" i="7"/>
  <c r="M34" i="7"/>
  <c r="P34" i="7" s="1"/>
  <c r="N47" i="7"/>
  <c r="M68" i="7"/>
  <c r="P93" i="7"/>
  <c r="O96" i="7"/>
  <c r="L94" i="7"/>
  <c r="O94" i="7" s="1"/>
  <c r="L151" i="7"/>
  <c r="O278" i="7"/>
  <c r="L304" i="7"/>
  <c r="O304" i="7" s="1"/>
  <c r="O306" i="7"/>
  <c r="P333" i="7"/>
  <c r="M331" i="7"/>
  <c r="P331" i="7" s="1"/>
  <c r="M330" i="7"/>
  <c r="O634" i="7"/>
  <c r="N631" i="7"/>
  <c r="N632" i="7"/>
  <c r="N19" i="7"/>
  <c r="N12" i="7"/>
  <c r="N26" i="7"/>
  <c r="N30" i="7"/>
  <c r="N28" i="7" s="1"/>
  <c r="O67" i="7"/>
  <c r="M280" i="7"/>
  <c r="P282" i="7"/>
  <c r="J288" i="7"/>
  <c r="J275" i="7" s="1"/>
  <c r="I275" i="7"/>
  <c r="N134" i="4"/>
  <c r="N132" i="4" s="1"/>
  <c r="L229" i="4"/>
  <c r="K821" i="5"/>
  <c r="P61" i="6"/>
  <c r="I77" i="6"/>
  <c r="I65" i="6" s="1"/>
  <c r="K65" i="6" s="1"/>
  <c r="L91" i="6"/>
  <c r="I148" i="6"/>
  <c r="K148" i="6" s="1"/>
  <c r="K378" i="6"/>
  <c r="L392" i="6"/>
  <c r="O392" i="6" s="1"/>
  <c r="L404" i="6"/>
  <c r="O404" i="6" s="1"/>
  <c r="L546" i="6"/>
  <c r="L544" i="6" s="1"/>
  <c r="O544" i="6" s="1"/>
  <c r="K823" i="6"/>
  <c r="K826" i="6"/>
  <c r="P19" i="7"/>
  <c r="M29" i="7"/>
  <c r="M43" i="7"/>
  <c r="O127" i="7"/>
  <c r="L134" i="7"/>
  <c r="O134" i="7" s="1"/>
  <c r="I130" i="7"/>
  <c r="K130" i="7" s="1"/>
  <c r="K146" i="7"/>
  <c r="L264" i="7"/>
  <c r="O266" i="7"/>
  <c r="L267" i="7"/>
  <c r="O267" i="7" s="1"/>
  <c r="O269" i="7"/>
  <c r="L348" i="7"/>
  <c r="O350" i="7"/>
  <c r="L347" i="7"/>
  <c r="K540" i="7"/>
  <c r="J537" i="7"/>
  <c r="J522" i="7" s="1"/>
  <c r="L230" i="4"/>
  <c r="L230" i="5"/>
  <c r="P140" i="6"/>
  <c r="L151" i="6"/>
  <c r="L149" i="6" s="1"/>
  <c r="P170" i="6"/>
  <c r="L231" i="6"/>
  <c r="I297" i="6"/>
  <c r="K297" i="6" s="1"/>
  <c r="J785" i="6"/>
  <c r="O46" i="7"/>
  <c r="P89" i="7"/>
  <c r="O93" i="7"/>
  <c r="L91" i="7"/>
  <c r="O91" i="7" s="1"/>
  <c r="K99" i="7"/>
  <c r="L121" i="7"/>
  <c r="M283" i="7"/>
  <c r="P283" i="7" s="1"/>
  <c r="P285" i="7"/>
  <c r="O346" i="7"/>
  <c r="P394" i="7"/>
  <c r="M391" i="7"/>
  <c r="O133" i="7"/>
  <c r="N152" i="7"/>
  <c r="O152" i="7" s="1"/>
  <c r="P166" i="7"/>
  <c r="L168" i="7"/>
  <c r="L171" i="7"/>
  <c r="O171" i="7" s="1"/>
  <c r="I174" i="7"/>
  <c r="P182" i="7"/>
  <c r="L184" i="7"/>
  <c r="O184" i="7" s="1"/>
  <c r="L187" i="7"/>
  <c r="O187" i="7" s="1"/>
  <c r="N264" i="7"/>
  <c r="I314" i="7"/>
  <c r="K314" i="7" s="1"/>
  <c r="L330" i="7"/>
  <c r="M404" i="7"/>
  <c r="P410" i="7"/>
  <c r="O420" i="7"/>
  <c r="P468" i="7"/>
  <c r="M467" i="7"/>
  <c r="P467" i="7" s="1"/>
  <c r="K577" i="7"/>
  <c r="K675" i="7"/>
  <c r="I654" i="7"/>
  <c r="K654" i="7" s="1"/>
  <c r="K674" i="7"/>
  <c r="K673" i="7"/>
  <c r="K669" i="7"/>
  <c r="K672" i="7"/>
  <c r="O690" i="7"/>
  <c r="L687" i="7"/>
  <c r="O687" i="7" s="1"/>
  <c r="L688" i="7"/>
  <c r="O688" i="7" s="1"/>
  <c r="O786" i="7"/>
  <c r="K362" i="7"/>
  <c r="I442" i="7"/>
  <c r="K442" i="7" s="1"/>
  <c r="K460" i="7"/>
  <c r="O547" i="7"/>
  <c r="P657" i="7"/>
  <c r="M655" i="7"/>
  <c r="P655" i="7" s="1"/>
  <c r="O806" i="7"/>
  <c r="L805" i="7"/>
  <c r="O805" i="7" s="1"/>
  <c r="O445" i="7"/>
  <c r="P504" i="7"/>
  <c r="M502" i="7"/>
  <c r="P502" i="7" s="1"/>
  <c r="O549" i="7"/>
  <c r="N546" i="7"/>
  <c r="N544" i="7" s="1"/>
  <c r="N414" i="7" s="1"/>
  <c r="N547" i="7"/>
  <c r="O656" i="7"/>
  <c r="I197" i="7"/>
  <c r="K197" i="7" s="1"/>
  <c r="O503" i="7"/>
  <c r="L502" i="7"/>
  <c r="O502" i="7" s="1"/>
  <c r="I237" i="7"/>
  <c r="O390" i="7"/>
  <c r="O397" i="7"/>
  <c r="P407" i="7"/>
  <c r="M414" i="7"/>
  <c r="P414" i="7" s="1"/>
  <c r="N444" i="7"/>
  <c r="N629" i="7"/>
  <c r="N658" i="7"/>
  <c r="K365" i="7"/>
  <c r="O524" i="7"/>
  <c r="K537" i="7"/>
  <c r="L546" i="7"/>
  <c r="P686" i="7"/>
  <c r="P787" i="7"/>
  <c r="L422" i="7"/>
  <c r="O422" i="7" s="1"/>
  <c r="L447" i="7"/>
  <c r="O447" i="7" s="1"/>
  <c r="L526" i="7"/>
  <c r="O526" i="7" s="1"/>
  <c r="L477" i="7"/>
  <c r="O477" i="7" s="1"/>
  <c r="N122" i="5"/>
  <c r="M331" i="5"/>
  <c r="P331" i="5" s="1"/>
  <c r="N91" i="6"/>
  <c r="O93" i="6"/>
  <c r="N152" i="6"/>
  <c r="O152" i="6" s="1"/>
  <c r="O154" i="6"/>
  <c r="M300" i="6"/>
  <c r="M298" i="6" s="1"/>
  <c r="M317" i="6"/>
  <c r="L231" i="3"/>
  <c r="M44" i="6"/>
  <c r="M47" i="6"/>
  <c r="P47" i="6" s="1"/>
  <c r="L59" i="6"/>
  <c r="O59" i="6" s="1"/>
  <c r="M138" i="6"/>
  <c r="P138" i="6" s="1"/>
  <c r="L155" i="6"/>
  <c r="O155" i="6" s="1"/>
  <c r="O269" i="6"/>
  <c r="P306" i="6"/>
  <c r="L321" i="6"/>
  <c r="O321" i="6" s="1"/>
  <c r="N347" i="6"/>
  <c r="N345" i="6" s="1"/>
  <c r="L470" i="6"/>
  <c r="O470" i="6" s="1"/>
  <c r="L533" i="6"/>
  <c r="O533" i="6" s="1"/>
  <c r="J722" i="6"/>
  <c r="L788" i="5"/>
  <c r="O788" i="5" s="1"/>
  <c r="K98" i="6"/>
  <c r="L121" i="6"/>
  <c r="L119" i="6" s="1"/>
  <c r="O157" i="6"/>
  <c r="L167" i="6"/>
  <c r="L165" i="6" s="1"/>
  <c r="J327" i="6"/>
  <c r="K327" i="6" s="1"/>
  <c r="O410" i="6"/>
  <c r="L122" i="6"/>
  <c r="O122" i="6" s="1"/>
  <c r="O127" i="6"/>
  <c r="M167" i="6"/>
  <c r="N167" i="6"/>
  <c r="O351" i="6"/>
  <c r="P410" i="6"/>
  <c r="O557" i="6"/>
  <c r="J721" i="6"/>
  <c r="K801" i="6"/>
  <c r="K340" i="5"/>
  <c r="L55" i="6"/>
  <c r="K79" i="6"/>
  <c r="L198" i="6"/>
  <c r="O198" i="6" s="1"/>
  <c r="L209" i="6"/>
  <c r="O209" i="6" s="1"/>
  <c r="N279" i="6"/>
  <c r="N277" i="6" s="1"/>
  <c r="L395" i="6"/>
  <c r="O395" i="6" s="1"/>
  <c r="L121" i="5"/>
  <c r="L119" i="5" s="1"/>
  <c r="O119" i="5" s="1"/>
  <c r="M267" i="5"/>
  <c r="P267" i="5" s="1"/>
  <c r="L283" i="5"/>
  <c r="O283" i="5" s="1"/>
  <c r="M330" i="5"/>
  <c r="M328" i="5" s="1"/>
  <c r="L687" i="5"/>
  <c r="O687" i="5" s="1"/>
  <c r="I76" i="6"/>
  <c r="O96" i="6"/>
  <c r="L94" i="6"/>
  <c r="O94" i="6" s="1"/>
  <c r="O125" i="6"/>
  <c r="M134" i="6"/>
  <c r="M132" i="6" s="1"/>
  <c r="O168" i="6"/>
  <c r="P186" i="6"/>
  <c r="M183" i="6"/>
  <c r="O266" i="6"/>
  <c r="M321" i="6"/>
  <c r="P321" i="6" s="1"/>
  <c r="P323" i="6"/>
  <c r="O333" i="6"/>
  <c r="L331" i="6"/>
  <c r="K360" i="6"/>
  <c r="K374" i="6"/>
  <c r="L229" i="3"/>
  <c r="K823" i="3"/>
  <c r="K826" i="3"/>
  <c r="M47" i="5"/>
  <c r="P47" i="5" s="1"/>
  <c r="L122" i="5"/>
  <c r="O122" i="5" s="1"/>
  <c r="K369" i="5"/>
  <c r="I522" i="5"/>
  <c r="K522" i="5" s="1"/>
  <c r="O58" i="6"/>
  <c r="N121" i="6"/>
  <c r="N134" i="6"/>
  <c r="N132" i="6" s="1"/>
  <c r="O140" i="6"/>
  <c r="O186" i="6"/>
  <c r="N184" i="6"/>
  <c r="O184" i="6" s="1"/>
  <c r="L187" i="6"/>
  <c r="O187" i="6" s="1"/>
  <c r="L183" i="6"/>
  <c r="I148" i="3"/>
  <c r="K148" i="3" s="1"/>
  <c r="L125" i="5"/>
  <c r="O125" i="5" s="1"/>
  <c r="L152" i="5"/>
  <c r="O152" i="5" s="1"/>
  <c r="N26" i="6"/>
  <c r="N16" i="6" s="1"/>
  <c r="N14" i="6" s="1"/>
  <c r="P58" i="6"/>
  <c r="M55" i="6"/>
  <c r="O189" i="6"/>
  <c r="L238" i="6"/>
  <c r="O238" i="6" s="1"/>
  <c r="K325" i="6"/>
  <c r="I314" i="6"/>
  <c r="K314" i="6" s="1"/>
  <c r="O528" i="6"/>
  <c r="L525" i="6"/>
  <c r="O525" i="6" s="1"/>
  <c r="M59" i="6"/>
  <c r="P59" i="6" s="1"/>
  <c r="M72" i="5"/>
  <c r="P72" i="5" s="1"/>
  <c r="M90" i="5"/>
  <c r="M88" i="5" s="1"/>
  <c r="L134" i="5"/>
  <c r="O134" i="5" s="1"/>
  <c r="M391" i="5"/>
  <c r="P391" i="5" s="1"/>
  <c r="N72" i="6"/>
  <c r="N68" i="6"/>
  <c r="N66" i="6" s="1"/>
  <c r="O282" i="6"/>
  <c r="L280" i="6"/>
  <c r="L405" i="6"/>
  <c r="O405" i="6" s="1"/>
  <c r="O407" i="6"/>
  <c r="K651" i="6"/>
  <c r="I628" i="6"/>
  <c r="K628" i="6" s="1"/>
  <c r="I522" i="4"/>
  <c r="K522" i="4" s="1"/>
  <c r="P266" i="5"/>
  <c r="P303" i="5"/>
  <c r="L392" i="5"/>
  <c r="O392" i="5" s="1"/>
  <c r="M408" i="5"/>
  <c r="P408" i="5" s="1"/>
  <c r="I559" i="5"/>
  <c r="I543" i="5" s="1"/>
  <c r="K543" i="5" s="1"/>
  <c r="K699" i="5"/>
  <c r="M23" i="6"/>
  <c r="M21" i="6" s="1"/>
  <c r="L33" i="6"/>
  <c r="N56" i="6"/>
  <c r="P56" i="6" s="1"/>
  <c r="K115" i="6"/>
  <c r="I112" i="6"/>
  <c r="K112" i="6" s="1"/>
  <c r="N171" i="6"/>
  <c r="K224" i="6"/>
  <c r="I216" i="6"/>
  <c r="K216" i="6" s="1"/>
  <c r="L230" i="6"/>
  <c r="K271" i="6"/>
  <c r="I260" i="6"/>
  <c r="K260" i="6" s="1"/>
  <c r="N301" i="6"/>
  <c r="P301" i="6" s="1"/>
  <c r="P303" i="6"/>
  <c r="O320" i="6"/>
  <c r="L318" i="6"/>
  <c r="L317" i="6"/>
  <c r="L315" i="6" s="1"/>
  <c r="P353" i="6"/>
  <c r="M347" i="6"/>
  <c r="M345" i="6" s="1"/>
  <c r="M351" i="6"/>
  <c r="P351" i="6" s="1"/>
  <c r="J364" i="6"/>
  <c r="K370" i="6"/>
  <c r="N391" i="6"/>
  <c r="N389" i="6" s="1"/>
  <c r="I434" i="6"/>
  <c r="O137" i="6"/>
  <c r="L228" i="6"/>
  <c r="M334" i="6"/>
  <c r="P334" i="6" s="1"/>
  <c r="L391" i="6"/>
  <c r="L389" i="6" s="1"/>
  <c r="O389" i="6" s="1"/>
  <c r="M395" i="6"/>
  <c r="P395" i="6" s="1"/>
  <c r="N404" i="6"/>
  <c r="N402" i="6" s="1"/>
  <c r="I443" i="6"/>
  <c r="K443" i="6" s="1"/>
  <c r="K592" i="6"/>
  <c r="O170" i="6"/>
  <c r="O353" i="6"/>
  <c r="K359" i="6"/>
  <c r="K362" i="6"/>
  <c r="K379" i="6"/>
  <c r="M391" i="6"/>
  <c r="K649" i="6"/>
  <c r="L657" i="6"/>
  <c r="O657" i="6" s="1"/>
  <c r="K822" i="6"/>
  <c r="K825" i="6"/>
  <c r="K828" i="6"/>
  <c r="J537" i="6"/>
  <c r="L788" i="6"/>
  <c r="O788" i="6" s="1"/>
  <c r="K594" i="6"/>
  <c r="P350" i="6"/>
  <c r="K381" i="6"/>
  <c r="M392" i="6"/>
  <c r="P392" i="6" s="1"/>
  <c r="J433" i="6"/>
  <c r="J417" i="6" s="1"/>
  <c r="K647" i="6"/>
  <c r="O19" i="6"/>
  <c r="K86" i="6"/>
  <c r="J143" i="6"/>
  <c r="J131" i="6" s="1"/>
  <c r="K145" i="6"/>
  <c r="I143" i="6"/>
  <c r="M43" i="4"/>
  <c r="M41" i="4" s="1"/>
  <c r="O56" i="4"/>
  <c r="K340" i="4"/>
  <c r="L347" i="4"/>
  <c r="L345" i="4" s="1"/>
  <c r="K823" i="4"/>
  <c r="K826" i="4"/>
  <c r="I86" i="5"/>
  <c r="K86" i="5" s="1"/>
  <c r="L231" i="5"/>
  <c r="M392" i="5"/>
  <c r="P392" i="5" s="1"/>
  <c r="M395" i="5"/>
  <c r="P395" i="5" s="1"/>
  <c r="O690" i="5"/>
  <c r="J721" i="5"/>
  <c r="N19" i="6"/>
  <c r="N23" i="6"/>
  <c r="N43" i="6"/>
  <c r="L47" i="6"/>
  <c r="O47" i="6" s="1"/>
  <c r="O49" i="6"/>
  <c r="L26" i="6"/>
  <c r="M264" i="6"/>
  <c r="P266" i="6"/>
  <c r="K287" i="6"/>
  <c r="I276" i="6"/>
  <c r="K276" i="6" s="1"/>
  <c r="L55" i="5"/>
  <c r="L53" i="5" s="1"/>
  <c r="M283" i="5"/>
  <c r="P283" i="5" s="1"/>
  <c r="K255" i="6"/>
  <c r="I248" i="6"/>
  <c r="K248" i="6" s="1"/>
  <c r="M283" i="3"/>
  <c r="P283" i="3" s="1"/>
  <c r="I297" i="3"/>
  <c r="K297" i="3" s="1"/>
  <c r="K723" i="3"/>
  <c r="J721" i="3"/>
  <c r="K721" i="3" s="1"/>
  <c r="M55" i="4"/>
  <c r="M53" i="4" s="1"/>
  <c r="P264" i="4"/>
  <c r="O61" i="5"/>
  <c r="M151" i="5"/>
  <c r="I233" i="5"/>
  <c r="K233" i="5" s="1"/>
  <c r="M263" i="5"/>
  <c r="M261" i="5" s="1"/>
  <c r="L267" i="5"/>
  <c r="O267" i="5" s="1"/>
  <c r="L279" i="5"/>
  <c r="L300" i="5"/>
  <c r="L298" i="5" s="1"/>
  <c r="K385" i="5"/>
  <c r="P29" i="6"/>
  <c r="P33" i="6"/>
  <c r="M30" i="6"/>
  <c r="P30" i="6" s="1"/>
  <c r="P42" i="6"/>
  <c r="P46" i="6"/>
  <c r="N44" i="6"/>
  <c r="O120" i="6"/>
  <c r="M155" i="6"/>
  <c r="P155" i="6" s="1"/>
  <c r="P157" i="6"/>
  <c r="P346" i="6"/>
  <c r="M405" i="6"/>
  <c r="P405" i="6" s="1"/>
  <c r="P407" i="6"/>
  <c r="M404" i="6"/>
  <c r="M152" i="6"/>
  <c r="P154" i="6"/>
  <c r="O262" i="6"/>
  <c r="I148" i="4"/>
  <c r="K148" i="4" s="1"/>
  <c r="I297" i="4"/>
  <c r="K297" i="4" s="1"/>
  <c r="I297" i="5"/>
  <c r="K297" i="5" s="1"/>
  <c r="L404" i="5"/>
  <c r="O404" i="5" s="1"/>
  <c r="O22" i="6"/>
  <c r="O32" i="6"/>
  <c r="L29" i="6"/>
  <c r="P35" i="6"/>
  <c r="M34" i="6"/>
  <c r="P34" i="6" s="1"/>
  <c r="L69" i="6"/>
  <c r="O69" i="6" s="1"/>
  <c r="O71" i="6"/>
  <c r="M94" i="6"/>
  <c r="P94" i="6" s="1"/>
  <c r="P96" i="6"/>
  <c r="M122" i="6"/>
  <c r="P122" i="6" s="1"/>
  <c r="P124" i="6"/>
  <c r="M267" i="6"/>
  <c r="P267" i="6" s="1"/>
  <c r="P269" i="6"/>
  <c r="L44" i="6"/>
  <c r="O46" i="6"/>
  <c r="O59" i="3"/>
  <c r="I275" i="4"/>
  <c r="K275" i="4" s="1"/>
  <c r="K708" i="4"/>
  <c r="J722" i="4"/>
  <c r="K722" i="4" s="1"/>
  <c r="P44" i="5"/>
  <c r="N134" i="5"/>
  <c r="N132" i="5" s="1"/>
  <c r="M152" i="5"/>
  <c r="P152" i="5" s="1"/>
  <c r="M279" i="5"/>
  <c r="M277" i="5" s="1"/>
  <c r="P350" i="5"/>
  <c r="K378" i="5"/>
  <c r="L391" i="5"/>
  <c r="O391" i="5" s="1"/>
  <c r="O410" i="5"/>
  <c r="L631" i="5"/>
  <c r="O631" i="5" s="1"/>
  <c r="I654" i="5"/>
  <c r="K654" i="5" s="1"/>
  <c r="K825" i="5"/>
  <c r="K828" i="5"/>
  <c r="L12" i="6"/>
  <c r="P22" i="6"/>
  <c r="P67" i="6"/>
  <c r="O89" i="6"/>
  <c r="J87" i="6"/>
  <c r="K87" i="6" s="1"/>
  <c r="K99" i="6"/>
  <c r="M151" i="6"/>
  <c r="I190" i="6"/>
  <c r="K190" i="6" s="1"/>
  <c r="L301" i="6"/>
  <c r="O303" i="6"/>
  <c r="L300" i="6"/>
  <c r="N331" i="6"/>
  <c r="N330" i="6"/>
  <c r="O350" i="6"/>
  <c r="L347" i="6"/>
  <c r="L348" i="6"/>
  <c r="O348" i="6" s="1"/>
  <c r="N414" i="6"/>
  <c r="M91" i="6"/>
  <c r="P93" i="6"/>
  <c r="P351" i="3"/>
  <c r="P152" i="4"/>
  <c r="M187" i="4"/>
  <c r="P187" i="4" s="1"/>
  <c r="N330" i="4"/>
  <c r="N328" i="4" s="1"/>
  <c r="K647" i="4"/>
  <c r="N43" i="5"/>
  <c r="N41" i="5" s="1"/>
  <c r="M134" i="5"/>
  <c r="P134" i="5" s="1"/>
  <c r="L187" i="5"/>
  <c r="O187" i="5" s="1"/>
  <c r="M301" i="5"/>
  <c r="L304" i="5"/>
  <c r="O304" i="5" s="1"/>
  <c r="J327" i="5"/>
  <c r="K327" i="5" s="1"/>
  <c r="M348" i="5"/>
  <c r="I628" i="5"/>
  <c r="K628" i="5" s="1"/>
  <c r="M9" i="6"/>
  <c r="L23" i="6"/>
  <c r="M26" i="6"/>
  <c r="M24" i="6" s="1"/>
  <c r="N31" i="6"/>
  <c r="N29" i="6"/>
  <c r="N28" i="6" s="1"/>
  <c r="L43" i="6"/>
  <c r="L72" i="6"/>
  <c r="O72" i="6" s="1"/>
  <c r="O74" i="6"/>
  <c r="M125" i="6"/>
  <c r="P125" i="6" s="1"/>
  <c r="P127" i="6"/>
  <c r="O150" i="6"/>
  <c r="M263" i="6"/>
  <c r="P278" i="6"/>
  <c r="N280" i="6"/>
  <c r="P282" i="6"/>
  <c r="O54" i="6"/>
  <c r="P133" i="6"/>
  <c r="L135" i="6"/>
  <c r="O135" i="6" s="1"/>
  <c r="L138" i="6"/>
  <c r="O138" i="6" s="1"/>
  <c r="M168" i="6"/>
  <c r="P168" i="6" s="1"/>
  <c r="M171" i="6"/>
  <c r="P171" i="6" s="1"/>
  <c r="M184" i="6"/>
  <c r="M187" i="6"/>
  <c r="P187" i="6" s="1"/>
  <c r="I233" i="6"/>
  <c r="K233" i="6" s="1"/>
  <c r="O306" i="6"/>
  <c r="K355" i="6"/>
  <c r="K365" i="6"/>
  <c r="I442" i="6"/>
  <c r="K442" i="6" s="1"/>
  <c r="K460" i="6"/>
  <c r="P503" i="6"/>
  <c r="M502" i="6"/>
  <c r="P502" i="6" s="1"/>
  <c r="O806" i="6"/>
  <c r="L805" i="6"/>
  <c r="O805" i="6" s="1"/>
  <c r="L547" i="6"/>
  <c r="O547" i="6" s="1"/>
  <c r="O549" i="6"/>
  <c r="P657" i="6"/>
  <c r="M655" i="6"/>
  <c r="P655" i="6" s="1"/>
  <c r="K675" i="6"/>
  <c r="I654" i="6"/>
  <c r="K654" i="6" s="1"/>
  <c r="K674" i="6"/>
  <c r="K673" i="6"/>
  <c r="K669" i="6"/>
  <c r="K672" i="6"/>
  <c r="O690" i="6"/>
  <c r="L687" i="6"/>
  <c r="O687" i="6" s="1"/>
  <c r="L688" i="6"/>
  <c r="O688" i="6" s="1"/>
  <c r="K146" i="6"/>
  <c r="I197" i="6"/>
  <c r="K197" i="6" s="1"/>
  <c r="P320" i="6"/>
  <c r="K80" i="6"/>
  <c r="I237" i="6"/>
  <c r="L249" i="6"/>
  <c r="O249" i="6" s="1"/>
  <c r="O656" i="6"/>
  <c r="M279" i="6"/>
  <c r="P285" i="6"/>
  <c r="P333" i="6"/>
  <c r="K385" i="6"/>
  <c r="L421" i="6"/>
  <c r="O431" i="6"/>
  <c r="P468" i="6"/>
  <c r="M467" i="6"/>
  <c r="P467" i="6" s="1"/>
  <c r="K593" i="6"/>
  <c r="P807" i="6"/>
  <c r="M805" i="6"/>
  <c r="P805" i="6" s="1"/>
  <c r="L454" i="6"/>
  <c r="O454" i="6" s="1"/>
  <c r="L526" i="6"/>
  <c r="O526" i="6" s="1"/>
  <c r="L639" i="6"/>
  <c r="O639" i="6" s="1"/>
  <c r="O660" i="6"/>
  <c r="I785" i="6"/>
  <c r="L789" i="6"/>
  <c r="O789" i="6" s="1"/>
  <c r="L446" i="6"/>
  <c r="M544" i="6"/>
  <c r="P544" i="6" s="1"/>
  <c r="L631" i="6"/>
  <c r="L737" i="6"/>
  <c r="O737" i="6" s="1"/>
  <c r="L754" i="6"/>
  <c r="O754" i="6" s="1"/>
  <c r="L770" i="6"/>
  <c r="O770" i="6" s="1"/>
  <c r="L469" i="6"/>
  <c r="K539" i="6"/>
  <c r="M135" i="5"/>
  <c r="P135" i="5" s="1"/>
  <c r="K215" i="5"/>
  <c r="L280" i="5"/>
  <c r="P282" i="5"/>
  <c r="O351" i="5"/>
  <c r="K593" i="5"/>
  <c r="M304" i="5"/>
  <c r="P304" i="5" s="1"/>
  <c r="N391" i="3"/>
  <c r="N389" i="3" s="1"/>
  <c r="M59" i="4"/>
  <c r="P59" i="4" s="1"/>
  <c r="L72" i="4"/>
  <c r="O72" i="4" s="1"/>
  <c r="M151" i="4"/>
  <c r="M149" i="4" s="1"/>
  <c r="N135" i="5"/>
  <c r="M138" i="5"/>
  <c r="P138" i="5" s="1"/>
  <c r="I143" i="5"/>
  <c r="K143" i="5" s="1"/>
  <c r="N151" i="5"/>
  <c r="N149" i="5" s="1"/>
  <c r="L263" i="5"/>
  <c r="L261" i="5" s="1"/>
  <c r="I314" i="5"/>
  <c r="K314" i="5" s="1"/>
  <c r="K370" i="5"/>
  <c r="K674" i="5"/>
  <c r="J327" i="3"/>
  <c r="K327" i="3" s="1"/>
  <c r="K378" i="4"/>
  <c r="K381" i="4"/>
  <c r="P61" i="5"/>
  <c r="M68" i="5"/>
  <c r="M66" i="5" s="1"/>
  <c r="N280" i="5"/>
  <c r="P280" i="5" s="1"/>
  <c r="M300" i="5"/>
  <c r="M298" i="5" s="1"/>
  <c r="M405" i="5"/>
  <c r="P405" i="5" s="1"/>
  <c r="O557" i="5"/>
  <c r="K193" i="5"/>
  <c r="N263" i="5"/>
  <c r="N261" i="5" s="1"/>
  <c r="O353" i="5"/>
  <c r="K669" i="5"/>
  <c r="N43" i="4"/>
  <c r="N41" i="4" s="1"/>
  <c r="J327" i="4"/>
  <c r="K327" i="4" s="1"/>
  <c r="L43" i="5"/>
  <c r="L41" i="5" s="1"/>
  <c r="M187" i="5"/>
  <c r="P187" i="5" s="1"/>
  <c r="L217" i="5"/>
  <c r="O217" i="5" s="1"/>
  <c r="K224" i="5"/>
  <c r="M264" i="5"/>
  <c r="P264" i="5" s="1"/>
  <c r="K359" i="5"/>
  <c r="K362" i="5"/>
  <c r="L546" i="5"/>
  <c r="L544" i="5" s="1"/>
  <c r="O449" i="5"/>
  <c r="L447" i="5"/>
  <c r="O447" i="5" s="1"/>
  <c r="M134" i="4"/>
  <c r="P134" i="4" s="1"/>
  <c r="L317" i="4"/>
  <c r="O317" i="4" s="1"/>
  <c r="P353" i="4"/>
  <c r="L184" i="5"/>
  <c r="O184" i="5" s="1"/>
  <c r="O186" i="5"/>
  <c r="L183" i="5"/>
  <c r="L181" i="5" s="1"/>
  <c r="N405" i="5"/>
  <c r="N404" i="5"/>
  <c r="N402" i="5" s="1"/>
  <c r="N134" i="3"/>
  <c r="N132" i="3" s="1"/>
  <c r="I314" i="3"/>
  <c r="K314" i="3" s="1"/>
  <c r="J722" i="3"/>
  <c r="K722" i="3" s="1"/>
  <c r="M44" i="4"/>
  <c r="P44" i="4" s="1"/>
  <c r="M47" i="4"/>
  <c r="P47" i="4" s="1"/>
  <c r="N135" i="4"/>
  <c r="M138" i="4"/>
  <c r="P138" i="4" s="1"/>
  <c r="M263" i="4"/>
  <c r="M261" i="4" s="1"/>
  <c r="M267" i="4"/>
  <c r="P267" i="4" s="1"/>
  <c r="L300" i="4"/>
  <c r="O300" i="4" s="1"/>
  <c r="K370" i="4"/>
  <c r="K460" i="4"/>
  <c r="I442" i="4"/>
  <c r="K442" i="4" s="1"/>
  <c r="K729" i="4"/>
  <c r="L33" i="5"/>
  <c r="O58" i="5"/>
  <c r="N68" i="5"/>
  <c r="N66" i="5" s="1"/>
  <c r="L90" i="5"/>
  <c r="L88" i="5" s="1"/>
  <c r="O91" i="5"/>
  <c r="P353" i="5"/>
  <c r="M351" i="5"/>
  <c r="P351" i="5" s="1"/>
  <c r="O660" i="5"/>
  <c r="L657" i="5"/>
  <c r="O657" i="5" s="1"/>
  <c r="M59" i="5"/>
  <c r="P59" i="5" s="1"/>
  <c r="M347" i="4"/>
  <c r="M345" i="4" s="1"/>
  <c r="N391" i="4"/>
  <c r="N389" i="4" s="1"/>
  <c r="M55" i="5"/>
  <c r="N183" i="4"/>
  <c r="N181" i="4" s="1"/>
  <c r="M300" i="4"/>
  <c r="P300" i="4" s="1"/>
  <c r="M304" i="4"/>
  <c r="P304" i="4" s="1"/>
  <c r="M334" i="4"/>
  <c r="P334" i="4" s="1"/>
  <c r="P58" i="5"/>
  <c r="I112" i="5"/>
  <c r="K112" i="5" s="1"/>
  <c r="M121" i="5"/>
  <c r="P124" i="5"/>
  <c r="P127" i="5"/>
  <c r="N167" i="5"/>
  <c r="N165" i="5" s="1"/>
  <c r="N168" i="5"/>
  <c r="P320" i="5"/>
  <c r="M318" i="5"/>
  <c r="P318" i="5" s="1"/>
  <c r="I364" i="5"/>
  <c r="K365" i="5"/>
  <c r="I442" i="2"/>
  <c r="K442" i="2" s="1"/>
  <c r="O173" i="5"/>
  <c r="L171" i="5"/>
  <c r="O171" i="5" s="1"/>
  <c r="N55" i="5"/>
  <c r="N53" i="5" s="1"/>
  <c r="L168" i="5"/>
  <c r="K435" i="5"/>
  <c r="I433" i="5"/>
  <c r="I417" i="5" s="1"/>
  <c r="O431" i="5"/>
  <c r="L429" i="5"/>
  <c r="O429" i="5" s="1"/>
  <c r="K700" i="4"/>
  <c r="O157" i="5"/>
  <c r="L151" i="5"/>
  <c r="P91" i="3"/>
  <c r="M72" i="4"/>
  <c r="P72" i="4" s="1"/>
  <c r="I76" i="4"/>
  <c r="I64" i="4" s="1"/>
  <c r="K64" i="4" s="1"/>
  <c r="M155" i="4"/>
  <c r="P155" i="4" s="1"/>
  <c r="I190" i="4"/>
  <c r="K190" i="4" s="1"/>
  <c r="O264" i="4"/>
  <c r="K821" i="4"/>
  <c r="K824" i="4"/>
  <c r="K827" i="4"/>
  <c r="N56" i="5"/>
  <c r="O56" i="5" s="1"/>
  <c r="O59" i="5"/>
  <c r="I76" i="5"/>
  <c r="I64" i="5" s="1"/>
  <c r="K64" i="5" s="1"/>
  <c r="K82" i="5"/>
  <c r="O96" i="5"/>
  <c r="L94" i="5"/>
  <c r="O94" i="5" s="1"/>
  <c r="I174" i="5"/>
  <c r="K176" i="5"/>
  <c r="I260" i="5"/>
  <c r="K260" i="5" s="1"/>
  <c r="K271" i="5"/>
  <c r="N301" i="5"/>
  <c r="O301" i="5" s="1"/>
  <c r="N300" i="5"/>
  <c r="N330" i="5"/>
  <c r="N328" i="5" s="1"/>
  <c r="O641" i="5"/>
  <c r="L639" i="5"/>
  <c r="O639" i="5" s="1"/>
  <c r="K701" i="4"/>
  <c r="P71" i="5"/>
  <c r="I248" i="5"/>
  <c r="K248" i="5" s="1"/>
  <c r="L229" i="5"/>
  <c r="O282" i="5"/>
  <c r="O303" i="5"/>
  <c r="N317" i="5"/>
  <c r="N315" i="5" s="1"/>
  <c r="N391" i="5"/>
  <c r="N389" i="5" s="1"/>
  <c r="M404" i="5"/>
  <c r="P404" i="5" s="1"/>
  <c r="O407" i="5"/>
  <c r="L421" i="5"/>
  <c r="L419" i="5" s="1"/>
  <c r="I442" i="5"/>
  <c r="K442" i="5" s="1"/>
  <c r="P69" i="5"/>
  <c r="I77" i="5"/>
  <c r="I65" i="5" s="1"/>
  <c r="K65" i="5" s="1"/>
  <c r="M183" i="5"/>
  <c r="N183" i="5"/>
  <c r="K190" i="5"/>
  <c r="L209" i="5"/>
  <c r="O209" i="5" s="1"/>
  <c r="L238" i="5"/>
  <c r="O238" i="5" s="1"/>
  <c r="I275" i="5"/>
  <c r="N318" i="5"/>
  <c r="K338" i="5"/>
  <c r="N347" i="5"/>
  <c r="N345" i="5" s="1"/>
  <c r="O350" i="5"/>
  <c r="K379" i="5"/>
  <c r="J722" i="5"/>
  <c r="L198" i="5"/>
  <c r="O198" i="5" s="1"/>
  <c r="O264" i="5"/>
  <c r="K360" i="5"/>
  <c r="K827" i="5"/>
  <c r="K673" i="5"/>
  <c r="L334" i="5"/>
  <c r="O334" i="5" s="1"/>
  <c r="N348" i="5"/>
  <c r="L422" i="5"/>
  <c r="O422" i="5" s="1"/>
  <c r="L526" i="5"/>
  <c r="O526" i="5" s="1"/>
  <c r="K823" i="5"/>
  <c r="M168" i="5"/>
  <c r="P170" i="5"/>
  <c r="P299" i="5"/>
  <c r="L90" i="3"/>
  <c r="L88" i="3" s="1"/>
  <c r="N47" i="4"/>
  <c r="O282" i="4"/>
  <c r="N347" i="4"/>
  <c r="N345" i="4" s="1"/>
  <c r="P42" i="5"/>
  <c r="L47" i="5"/>
  <c r="O47" i="5" s="1"/>
  <c r="O49" i="5"/>
  <c r="L69" i="5"/>
  <c r="O69" i="5" s="1"/>
  <c r="O71" i="5"/>
  <c r="K79" i="5"/>
  <c r="O93" i="5"/>
  <c r="K288" i="5"/>
  <c r="J275" i="5"/>
  <c r="P323" i="5"/>
  <c r="M317" i="5"/>
  <c r="P317" i="5" s="1"/>
  <c r="I443" i="5"/>
  <c r="K443" i="5" s="1"/>
  <c r="K462" i="5"/>
  <c r="P738" i="5"/>
  <c r="M737" i="5"/>
  <c r="P737" i="5" s="1"/>
  <c r="P771" i="5"/>
  <c r="M770" i="5"/>
  <c r="P770" i="5" s="1"/>
  <c r="P788" i="5"/>
  <c r="M786" i="5"/>
  <c r="P786" i="5" s="1"/>
  <c r="O19" i="5"/>
  <c r="M23" i="5"/>
  <c r="P46" i="5"/>
  <c r="O545" i="5"/>
  <c r="N184" i="4"/>
  <c r="P184" i="4" s="1"/>
  <c r="M283" i="4"/>
  <c r="P283" i="4" s="1"/>
  <c r="M348" i="4"/>
  <c r="M404" i="4"/>
  <c r="P404" i="4" s="1"/>
  <c r="K465" i="4"/>
  <c r="P22" i="5"/>
  <c r="M19" i="5"/>
  <c r="M12" i="5"/>
  <c r="L26" i="5"/>
  <c r="L24" i="5" s="1"/>
  <c r="P33" i="5"/>
  <c r="M30" i="5"/>
  <c r="P30" i="5" s="1"/>
  <c r="N90" i="5"/>
  <c r="I130" i="5"/>
  <c r="K130" i="5" s="1"/>
  <c r="L135" i="5"/>
  <c r="O135" i="5" s="1"/>
  <c r="O137" i="5"/>
  <c r="J143" i="5"/>
  <c r="J131" i="5" s="1"/>
  <c r="M167" i="5"/>
  <c r="O170" i="5"/>
  <c r="K204" i="5"/>
  <c r="P262" i="5"/>
  <c r="M321" i="5"/>
  <c r="P321" i="5" s="1"/>
  <c r="P403" i="5"/>
  <c r="J433" i="5"/>
  <c r="K437" i="5"/>
  <c r="L36" i="5"/>
  <c r="L446" i="5"/>
  <c r="O446" i="5" s="1"/>
  <c r="O456" i="5"/>
  <c r="L454" i="5"/>
  <c r="O454" i="5" s="1"/>
  <c r="O535" i="5"/>
  <c r="L525" i="5"/>
  <c r="O525" i="5" s="1"/>
  <c r="L533" i="5"/>
  <c r="O533" i="5" s="1"/>
  <c r="O787" i="5"/>
  <c r="L321" i="5"/>
  <c r="O321" i="5" s="1"/>
  <c r="O323" i="5"/>
  <c r="N788" i="5"/>
  <c r="N786" i="5" s="1"/>
  <c r="N789" i="5"/>
  <c r="P280" i="3"/>
  <c r="I314" i="4"/>
  <c r="K314" i="4" s="1"/>
  <c r="O333" i="4"/>
  <c r="K374" i="4"/>
  <c r="L631" i="4"/>
  <c r="O631" i="4" s="1"/>
  <c r="I654" i="4"/>
  <c r="K654" i="4" s="1"/>
  <c r="O12" i="5"/>
  <c r="N19" i="5"/>
  <c r="N12" i="5"/>
  <c r="M26" i="5"/>
  <c r="O32" i="5"/>
  <c r="L29" i="5"/>
  <c r="N26" i="5"/>
  <c r="N16" i="5" s="1"/>
  <c r="N14" i="5" s="1"/>
  <c r="P67" i="5"/>
  <c r="L72" i="5"/>
  <c r="O72" i="5" s="1"/>
  <c r="O74" i="5"/>
  <c r="M94" i="5"/>
  <c r="P94" i="5" s="1"/>
  <c r="P96" i="5"/>
  <c r="I87" i="5"/>
  <c r="K87" i="5" s="1"/>
  <c r="K99" i="5"/>
  <c r="I148" i="5"/>
  <c r="K148" i="5" s="1"/>
  <c r="P316" i="5"/>
  <c r="O397" i="5"/>
  <c r="L395" i="5"/>
  <c r="O395" i="5" s="1"/>
  <c r="O524" i="5"/>
  <c r="K287" i="5"/>
  <c r="I276" i="5"/>
  <c r="K276" i="5" s="1"/>
  <c r="P333" i="4"/>
  <c r="K385" i="4"/>
  <c r="M15" i="5"/>
  <c r="O25" i="5"/>
  <c r="L15" i="5"/>
  <c r="M34" i="5"/>
  <c r="P34" i="5" s="1"/>
  <c r="M43" i="5"/>
  <c r="P133" i="5"/>
  <c r="L138" i="5"/>
  <c r="O138" i="5" s="1"/>
  <c r="O140" i="5"/>
  <c r="M171" i="5"/>
  <c r="P171" i="5" s="1"/>
  <c r="P173" i="5"/>
  <c r="M184" i="5"/>
  <c r="P184" i="5" s="1"/>
  <c r="P186" i="5"/>
  <c r="O333" i="5"/>
  <c r="L330" i="5"/>
  <c r="L183" i="4"/>
  <c r="L181" i="4" s="1"/>
  <c r="I233" i="4"/>
  <c r="K233" i="4" s="1"/>
  <c r="K288" i="4"/>
  <c r="K355" i="4"/>
  <c r="K369" i="4"/>
  <c r="N23" i="5"/>
  <c r="M28" i="5"/>
  <c r="P28" i="5" s="1"/>
  <c r="N31" i="5"/>
  <c r="L44" i="5"/>
  <c r="O44" i="5" s="1"/>
  <c r="L23" i="5"/>
  <c r="O46" i="5"/>
  <c r="L68" i="5"/>
  <c r="M91" i="5"/>
  <c r="P91" i="5" s="1"/>
  <c r="P93" i="5"/>
  <c r="L317" i="5"/>
  <c r="O317" i="5" s="1"/>
  <c r="L331" i="5"/>
  <c r="O331" i="5" s="1"/>
  <c r="J374" i="5"/>
  <c r="K374" i="5" s="1"/>
  <c r="K381" i="5"/>
  <c r="O549" i="5"/>
  <c r="N546" i="5"/>
  <c r="N33" i="5"/>
  <c r="N30" i="5" s="1"/>
  <c r="N28" i="5" s="1"/>
  <c r="N544" i="5"/>
  <c r="N414" i="5" s="1"/>
  <c r="K244" i="5"/>
  <c r="I237" i="5"/>
  <c r="K569" i="5"/>
  <c r="P755" i="5"/>
  <c r="M754" i="5"/>
  <c r="P754" i="5" s="1"/>
  <c r="P807" i="5"/>
  <c r="M805" i="5"/>
  <c r="P805" i="5" s="1"/>
  <c r="L318" i="5"/>
  <c r="O318" i="5" s="1"/>
  <c r="O320" i="5"/>
  <c r="P525" i="5"/>
  <c r="M523" i="5"/>
  <c r="K538" i="5"/>
  <c r="J537" i="5"/>
  <c r="J522" i="5" s="1"/>
  <c r="L632" i="5"/>
  <c r="O632" i="5" s="1"/>
  <c r="O634" i="5"/>
  <c r="N655" i="5"/>
  <c r="P687" i="5"/>
  <c r="M685" i="5"/>
  <c r="P685" i="5" s="1"/>
  <c r="I785" i="5"/>
  <c r="K785" i="5" s="1"/>
  <c r="K800" i="5"/>
  <c r="O806" i="5"/>
  <c r="L805" i="5"/>
  <c r="O805" i="5" s="1"/>
  <c r="K216" i="5"/>
  <c r="L228" i="5"/>
  <c r="L249" i="5"/>
  <c r="O249" i="5" s="1"/>
  <c r="O266" i="5"/>
  <c r="L348" i="5"/>
  <c r="K355" i="5"/>
  <c r="K372" i="5"/>
  <c r="O479" i="5"/>
  <c r="L469" i="5"/>
  <c r="O469" i="5" s="1"/>
  <c r="M544" i="5"/>
  <c r="P544" i="5" s="1"/>
  <c r="O547" i="5"/>
  <c r="O686" i="5"/>
  <c r="O688" i="5"/>
  <c r="O791" i="5"/>
  <c r="K675" i="5"/>
  <c r="K559" i="4"/>
  <c r="I543" i="4"/>
  <c r="K543" i="4" s="1"/>
  <c r="K628" i="4"/>
  <c r="P58" i="3"/>
  <c r="I443" i="3"/>
  <c r="K443" i="3" s="1"/>
  <c r="P46" i="4"/>
  <c r="M122" i="4"/>
  <c r="P122" i="4" s="1"/>
  <c r="N168" i="4"/>
  <c r="M171" i="4"/>
  <c r="P171" i="4" s="1"/>
  <c r="K215" i="4"/>
  <c r="K255" i="4"/>
  <c r="N280" i="4"/>
  <c r="O280" i="4" s="1"/>
  <c r="K338" i="4"/>
  <c r="M392" i="4"/>
  <c r="P392" i="4" s="1"/>
  <c r="N404" i="4"/>
  <c r="N402" i="4" s="1"/>
  <c r="L408" i="4"/>
  <c r="O408" i="4" s="1"/>
  <c r="L632" i="4"/>
  <c r="O632" i="4" s="1"/>
  <c r="M267" i="3"/>
  <c r="P267" i="3" s="1"/>
  <c r="M125" i="4"/>
  <c r="P125" i="4" s="1"/>
  <c r="M330" i="4"/>
  <c r="M328" i="4" s="1"/>
  <c r="K577" i="4"/>
  <c r="L639" i="2"/>
  <c r="O639" i="2" s="1"/>
  <c r="M300" i="3"/>
  <c r="M298" i="3" s="1"/>
  <c r="O348" i="3"/>
  <c r="M68" i="4"/>
  <c r="M66" i="4" s="1"/>
  <c r="P66" i="4" s="1"/>
  <c r="M90" i="4"/>
  <c r="M88" i="4" s="1"/>
  <c r="M135" i="4"/>
  <c r="P135" i="4" s="1"/>
  <c r="M331" i="4"/>
  <c r="L334" i="4"/>
  <c r="O334" i="4" s="1"/>
  <c r="N351" i="4"/>
  <c r="P351" i="4" s="1"/>
  <c r="L429" i="4"/>
  <c r="O429" i="4" s="1"/>
  <c r="J721" i="4"/>
  <c r="K721" i="4" s="1"/>
  <c r="P124" i="3"/>
  <c r="L152" i="3"/>
  <c r="O152" i="3" s="1"/>
  <c r="N90" i="4"/>
  <c r="N88" i="4" s="1"/>
  <c r="O157" i="4"/>
  <c r="I248" i="4"/>
  <c r="K248" i="4" s="1"/>
  <c r="M317" i="4"/>
  <c r="P317" i="4" s="1"/>
  <c r="K593" i="4"/>
  <c r="M392" i="3"/>
  <c r="P392" i="3" s="1"/>
  <c r="J143" i="4"/>
  <c r="J131" i="4" s="1"/>
  <c r="P170" i="4"/>
  <c r="L217" i="4"/>
  <c r="O217" i="4" s="1"/>
  <c r="L279" i="4"/>
  <c r="L277" i="4" s="1"/>
  <c r="M318" i="4"/>
  <c r="P318" i="4" s="1"/>
  <c r="I364" i="4"/>
  <c r="L391" i="4"/>
  <c r="L404" i="4"/>
  <c r="L402" i="4" s="1"/>
  <c r="O402" i="4" s="1"/>
  <c r="L639" i="4"/>
  <c r="O639" i="4" s="1"/>
  <c r="K651" i="4"/>
  <c r="K674" i="4"/>
  <c r="K143" i="4"/>
  <c r="I131" i="4"/>
  <c r="K131" i="4" s="1"/>
  <c r="K260" i="4"/>
  <c r="L454" i="4"/>
  <c r="O454" i="4" s="1"/>
  <c r="O690" i="4"/>
  <c r="L688" i="4"/>
  <c r="O688" i="4" s="1"/>
  <c r="L687" i="4"/>
  <c r="O687" i="4" s="1"/>
  <c r="N90" i="2"/>
  <c r="N88" i="2" s="1"/>
  <c r="M151" i="2"/>
  <c r="M149" i="2" s="1"/>
  <c r="L125" i="3"/>
  <c r="O125" i="3" s="1"/>
  <c r="N151" i="3"/>
  <c r="N149" i="3" s="1"/>
  <c r="M304" i="3"/>
  <c r="P304" i="3" s="1"/>
  <c r="P333" i="3"/>
  <c r="I364" i="3"/>
  <c r="L470" i="3"/>
  <c r="O470" i="3" s="1"/>
  <c r="K701" i="3"/>
  <c r="M56" i="4"/>
  <c r="P56" i="4" s="1"/>
  <c r="N68" i="4"/>
  <c r="N66" i="4" s="1"/>
  <c r="N94" i="4"/>
  <c r="O124" i="4"/>
  <c r="L138" i="4"/>
  <c r="O138" i="4" s="1"/>
  <c r="K144" i="4"/>
  <c r="L151" i="4"/>
  <c r="O154" i="4"/>
  <c r="L167" i="4"/>
  <c r="L231" i="4"/>
  <c r="K271" i="4"/>
  <c r="M279" i="4"/>
  <c r="M277" i="4" s="1"/>
  <c r="O285" i="4"/>
  <c r="N317" i="4"/>
  <c r="N315" i="4" s="1"/>
  <c r="L331" i="4"/>
  <c r="P350" i="4"/>
  <c r="N348" i="4"/>
  <c r="K359" i="4"/>
  <c r="K362" i="4"/>
  <c r="L446" i="4"/>
  <c r="O446" i="4" s="1"/>
  <c r="K462" i="4"/>
  <c r="L263" i="2"/>
  <c r="L261" i="2" s="1"/>
  <c r="K325" i="2"/>
  <c r="N404" i="2"/>
  <c r="N402" i="2" s="1"/>
  <c r="M125" i="3"/>
  <c r="P125" i="3" s="1"/>
  <c r="L33" i="4"/>
  <c r="L31" i="4" s="1"/>
  <c r="O31" i="4" s="1"/>
  <c r="L121" i="4"/>
  <c r="L301" i="4"/>
  <c r="O301" i="4" s="1"/>
  <c r="P410" i="4"/>
  <c r="M408" i="4"/>
  <c r="P408" i="4" s="1"/>
  <c r="O186" i="3"/>
  <c r="L217" i="3"/>
  <c r="O217" i="3" s="1"/>
  <c r="K224" i="3"/>
  <c r="P348" i="3"/>
  <c r="L631" i="3"/>
  <c r="L629" i="3" s="1"/>
  <c r="O629" i="3" s="1"/>
  <c r="O61" i="4"/>
  <c r="M69" i="4"/>
  <c r="P69" i="4" s="1"/>
  <c r="I112" i="4"/>
  <c r="K112" i="4" s="1"/>
  <c r="M121" i="4"/>
  <c r="P121" i="4" s="1"/>
  <c r="O127" i="4"/>
  <c r="K145" i="4"/>
  <c r="N151" i="4"/>
  <c r="M168" i="4"/>
  <c r="P186" i="4"/>
  <c r="O266" i="4"/>
  <c r="K287" i="4"/>
  <c r="L304" i="4"/>
  <c r="O304" i="4" s="1"/>
  <c r="M321" i="4"/>
  <c r="P321" i="4" s="1"/>
  <c r="L330" i="4"/>
  <c r="N331" i="4"/>
  <c r="P397" i="4"/>
  <c r="M391" i="4"/>
  <c r="O449" i="4"/>
  <c r="L447" i="4"/>
  <c r="O447" i="4" s="1"/>
  <c r="K649" i="4"/>
  <c r="L788" i="4"/>
  <c r="O788" i="4" s="1"/>
  <c r="I197" i="3"/>
  <c r="K197" i="3" s="1"/>
  <c r="P93" i="4"/>
  <c r="M405" i="4"/>
  <c r="P405" i="4" s="1"/>
  <c r="O660" i="4"/>
  <c r="L658" i="4"/>
  <c r="O658" i="4" s="1"/>
  <c r="L657" i="4"/>
  <c r="O657" i="4" s="1"/>
  <c r="K647" i="2"/>
  <c r="K381" i="3"/>
  <c r="L55" i="4"/>
  <c r="L53" i="4" s="1"/>
  <c r="I174" i="4"/>
  <c r="L209" i="4"/>
  <c r="O209" i="4" s="1"/>
  <c r="L263" i="4"/>
  <c r="L261" i="4" s="1"/>
  <c r="O269" i="4"/>
  <c r="O350" i="4"/>
  <c r="L348" i="4"/>
  <c r="O353" i="4"/>
  <c r="L351" i="4"/>
  <c r="O424" i="4"/>
  <c r="L421" i="4"/>
  <c r="L422" i="4"/>
  <c r="O422" i="4" s="1"/>
  <c r="L555" i="4"/>
  <c r="O555" i="4" s="1"/>
  <c r="L546" i="4"/>
  <c r="O546" i="4" s="1"/>
  <c r="K360" i="4"/>
  <c r="I433" i="4"/>
  <c r="I417" i="4" s="1"/>
  <c r="L469" i="4"/>
  <c r="O469" i="4" s="1"/>
  <c r="K723" i="4"/>
  <c r="K379" i="4"/>
  <c r="O634" i="4"/>
  <c r="K725" i="4"/>
  <c r="K822" i="4"/>
  <c r="K825" i="4"/>
  <c r="K828" i="4"/>
  <c r="O22" i="4"/>
  <c r="L19" i="4"/>
  <c r="L91" i="4"/>
  <c r="O91" i="4" s="1"/>
  <c r="O93" i="4"/>
  <c r="P738" i="4"/>
  <c r="M737" i="4"/>
  <c r="P737" i="4" s="1"/>
  <c r="P771" i="4"/>
  <c r="M770" i="4"/>
  <c r="P770" i="4" s="1"/>
  <c r="P788" i="4"/>
  <c r="M786" i="4"/>
  <c r="P786" i="4" s="1"/>
  <c r="P807" i="4"/>
  <c r="M805" i="4"/>
  <c r="P805" i="4" s="1"/>
  <c r="M405" i="2"/>
  <c r="P405" i="2" s="1"/>
  <c r="M43" i="3"/>
  <c r="J433" i="3"/>
  <c r="J417" i="3" s="1"/>
  <c r="P15" i="4"/>
  <c r="P22" i="4"/>
  <c r="M19" i="4"/>
  <c r="M12" i="4"/>
  <c r="L23" i="4"/>
  <c r="L21" i="4" s="1"/>
  <c r="O46" i="4"/>
  <c r="O58" i="4"/>
  <c r="L69" i="4"/>
  <c r="O69" i="4" s="1"/>
  <c r="O89" i="4"/>
  <c r="L94" i="4"/>
  <c r="O94" i="4" s="1"/>
  <c r="O96" i="4"/>
  <c r="L238" i="4"/>
  <c r="N283" i="4"/>
  <c r="N279" i="4"/>
  <c r="L533" i="4"/>
  <c r="O533" i="4" s="1"/>
  <c r="O535" i="4"/>
  <c r="L525" i="4"/>
  <c r="L36" i="4"/>
  <c r="O545" i="4"/>
  <c r="M167" i="3"/>
  <c r="M165" i="3" s="1"/>
  <c r="I148" i="2"/>
  <c r="K148" i="2" s="1"/>
  <c r="M152" i="3"/>
  <c r="P152" i="3" s="1"/>
  <c r="M155" i="3"/>
  <c r="P155" i="3" s="1"/>
  <c r="O168" i="3"/>
  <c r="M171" i="3"/>
  <c r="P171" i="3" s="1"/>
  <c r="M347" i="3"/>
  <c r="M345" i="3" s="1"/>
  <c r="K359" i="3"/>
  <c r="K362" i="3"/>
  <c r="N404" i="3"/>
  <c r="N402" i="3" s="1"/>
  <c r="O456" i="3"/>
  <c r="L29" i="4"/>
  <c r="P35" i="4"/>
  <c r="M34" i="4"/>
  <c r="P34" i="4" s="1"/>
  <c r="L44" i="4"/>
  <c r="O44" i="4" s="1"/>
  <c r="M91" i="4"/>
  <c r="P91" i="4" s="1"/>
  <c r="P96" i="4"/>
  <c r="M26" i="4"/>
  <c r="M24" i="4" s="1"/>
  <c r="L135" i="4"/>
  <c r="O135" i="4" s="1"/>
  <c r="I130" i="4"/>
  <c r="K130" i="4" s="1"/>
  <c r="K146" i="4"/>
  <c r="L198" i="4"/>
  <c r="O198" i="4" s="1"/>
  <c r="I216" i="4"/>
  <c r="K216" i="4" s="1"/>
  <c r="N263" i="4"/>
  <c r="N261" i="4" s="1"/>
  <c r="M122" i="2"/>
  <c r="P122" i="2" s="1"/>
  <c r="L43" i="3"/>
  <c r="L41" i="3" s="1"/>
  <c r="N263" i="3"/>
  <c r="N261" i="3" s="1"/>
  <c r="O350" i="3"/>
  <c r="K594" i="3"/>
  <c r="M23" i="4"/>
  <c r="P29" i="4"/>
  <c r="M28" i="4"/>
  <c r="P28" i="4" s="1"/>
  <c r="N34" i="4"/>
  <c r="N55" i="4"/>
  <c r="N59" i="4"/>
  <c r="N26" i="4"/>
  <c r="L68" i="4"/>
  <c r="O68" i="4" s="1"/>
  <c r="N121" i="4"/>
  <c r="N119" i="4" s="1"/>
  <c r="P154" i="4"/>
  <c r="M167" i="4"/>
  <c r="L168" i="4"/>
  <c r="O170" i="4"/>
  <c r="M183" i="4"/>
  <c r="L184" i="4"/>
  <c r="O186" i="4"/>
  <c r="L228" i="4"/>
  <c r="L249" i="4"/>
  <c r="O249" i="4" s="1"/>
  <c r="N414" i="4"/>
  <c r="M90" i="2"/>
  <c r="M88" i="2" s="1"/>
  <c r="L94" i="3"/>
  <c r="O94" i="3" s="1"/>
  <c r="L334" i="3"/>
  <c r="O334" i="3" s="1"/>
  <c r="I522" i="3"/>
  <c r="K522" i="3" s="1"/>
  <c r="L12" i="4"/>
  <c r="N23" i="4"/>
  <c r="L43" i="4"/>
  <c r="O49" i="4"/>
  <c r="L26" i="4"/>
  <c r="L134" i="4"/>
  <c r="O134" i="4" s="1"/>
  <c r="O166" i="4"/>
  <c r="L171" i="4"/>
  <c r="O171" i="4" s="1"/>
  <c r="O173" i="4"/>
  <c r="O182" i="4"/>
  <c r="L187" i="4"/>
  <c r="O187" i="4" s="1"/>
  <c r="O189" i="4"/>
  <c r="P266" i="4"/>
  <c r="O170" i="3"/>
  <c r="N28" i="4"/>
  <c r="P58" i="4"/>
  <c r="L90" i="4"/>
  <c r="K204" i="4"/>
  <c r="I197" i="4"/>
  <c r="K197" i="4" s="1"/>
  <c r="J365" i="4"/>
  <c r="K372" i="4"/>
  <c r="N300" i="4"/>
  <c r="N298" i="4" s="1"/>
  <c r="L318" i="4"/>
  <c r="O318" i="4" s="1"/>
  <c r="O320" i="4"/>
  <c r="L321" i="4"/>
  <c r="O321" i="4" s="1"/>
  <c r="O323" i="4"/>
  <c r="J433" i="4"/>
  <c r="K437" i="4"/>
  <c r="N502" i="4"/>
  <c r="O547" i="4"/>
  <c r="P687" i="4"/>
  <c r="M685" i="4"/>
  <c r="P685" i="4" s="1"/>
  <c r="O787" i="4"/>
  <c r="I785" i="4"/>
  <c r="K785" i="4" s="1"/>
  <c r="K800" i="4"/>
  <c r="O806" i="4"/>
  <c r="L805" i="4"/>
  <c r="O805" i="4" s="1"/>
  <c r="I77" i="4"/>
  <c r="I237" i="4"/>
  <c r="P403" i="4"/>
  <c r="K592" i="4"/>
  <c r="O686" i="4"/>
  <c r="P299" i="4"/>
  <c r="K576" i="4"/>
  <c r="P755" i="4"/>
  <c r="M754" i="4"/>
  <c r="P754" i="4" s="1"/>
  <c r="J537" i="4"/>
  <c r="J522" i="4" s="1"/>
  <c r="K538" i="4"/>
  <c r="K594" i="4"/>
  <c r="P282" i="4"/>
  <c r="L392" i="4"/>
  <c r="O392" i="4" s="1"/>
  <c r="L395" i="4"/>
  <c r="O395" i="4" s="1"/>
  <c r="O407" i="4"/>
  <c r="I434" i="4"/>
  <c r="O468" i="4"/>
  <c r="L477" i="4"/>
  <c r="O477" i="4" s="1"/>
  <c r="M545" i="4"/>
  <c r="O549" i="4"/>
  <c r="O630" i="4"/>
  <c r="P303" i="4"/>
  <c r="K675" i="4"/>
  <c r="N505" i="4"/>
  <c r="M655" i="4"/>
  <c r="P655" i="4" s="1"/>
  <c r="K672" i="4"/>
  <c r="K669" i="4"/>
  <c r="O56" i="3"/>
  <c r="M301" i="2"/>
  <c r="P301" i="2" s="1"/>
  <c r="N347" i="2"/>
  <c r="N345" i="2" s="1"/>
  <c r="L687" i="2"/>
  <c r="O687" i="2" s="1"/>
  <c r="N26" i="3"/>
  <c r="N16" i="3" s="1"/>
  <c r="N14" i="3" s="1"/>
  <c r="L55" i="3"/>
  <c r="L53" i="3" s="1"/>
  <c r="M90" i="3"/>
  <c r="M88" i="3" s="1"/>
  <c r="L134" i="3"/>
  <c r="O134" i="3" s="1"/>
  <c r="L184" i="3"/>
  <c r="O184" i="3" s="1"/>
  <c r="L267" i="3"/>
  <c r="O267" i="3" s="1"/>
  <c r="J355" i="3"/>
  <c r="K355" i="3" s="1"/>
  <c r="K360" i="3"/>
  <c r="K369" i="3"/>
  <c r="K372" i="3"/>
  <c r="K385" i="3"/>
  <c r="O46" i="3"/>
  <c r="P74" i="3"/>
  <c r="M121" i="3"/>
  <c r="P121" i="3" s="1"/>
  <c r="L230" i="3"/>
  <c r="O323" i="3"/>
  <c r="O397" i="3"/>
  <c r="K483" i="1"/>
  <c r="L264" i="2"/>
  <c r="L267" i="2"/>
  <c r="O267" i="2" s="1"/>
  <c r="N121" i="3"/>
  <c r="N119" i="3" s="1"/>
  <c r="N279" i="3"/>
  <c r="M330" i="3"/>
  <c r="M408" i="3"/>
  <c r="P408" i="3" s="1"/>
  <c r="O431" i="3"/>
  <c r="O557" i="3"/>
  <c r="K647" i="3"/>
  <c r="N264" i="3"/>
  <c r="O264" i="3" s="1"/>
  <c r="M135" i="2"/>
  <c r="P135" i="2" s="1"/>
  <c r="O137" i="2"/>
  <c r="P353" i="2"/>
  <c r="L228" i="3"/>
  <c r="O266" i="3"/>
  <c r="N300" i="3"/>
  <c r="M331" i="3"/>
  <c r="P331" i="3" s="1"/>
  <c r="K338" i="3"/>
  <c r="K378" i="3"/>
  <c r="I442" i="3"/>
  <c r="K442" i="3" s="1"/>
  <c r="L788" i="3"/>
  <c r="O788" i="3" s="1"/>
  <c r="K381" i="2"/>
  <c r="L36" i="3"/>
  <c r="L34" i="3" s="1"/>
  <c r="O34" i="3" s="1"/>
  <c r="L68" i="3"/>
  <c r="L66" i="3" s="1"/>
  <c r="P184" i="3"/>
  <c r="L198" i="3"/>
  <c r="O198" i="3" s="1"/>
  <c r="K379" i="3"/>
  <c r="K86" i="3"/>
  <c r="L122" i="3"/>
  <c r="O122" i="3" s="1"/>
  <c r="M279" i="1"/>
  <c r="M277" i="1" s="1"/>
  <c r="J729" i="1"/>
  <c r="K729" i="1" s="1"/>
  <c r="L229" i="2"/>
  <c r="L334" i="2"/>
  <c r="O334" i="2" s="1"/>
  <c r="K338" i="2"/>
  <c r="I364" i="2"/>
  <c r="K374" i="2"/>
  <c r="M392" i="2"/>
  <c r="P392" i="2" s="1"/>
  <c r="N47" i="3"/>
  <c r="O49" i="3"/>
  <c r="M68" i="3"/>
  <c r="M66" i="3" s="1"/>
  <c r="M94" i="3"/>
  <c r="P94" i="3" s="1"/>
  <c r="L155" i="3"/>
  <c r="O155" i="3" s="1"/>
  <c r="M168" i="3"/>
  <c r="P168" i="3" s="1"/>
  <c r="K176" i="3"/>
  <c r="L187" i="3"/>
  <c r="O187" i="3" s="1"/>
  <c r="L209" i="3"/>
  <c r="O209" i="3" s="1"/>
  <c r="K215" i="3"/>
  <c r="K271" i="3"/>
  <c r="N283" i="3"/>
  <c r="N301" i="3"/>
  <c r="P301" i="3" s="1"/>
  <c r="M334" i="3"/>
  <c r="P334" i="3" s="1"/>
  <c r="K374" i="3"/>
  <c r="M395" i="3"/>
  <c r="P395" i="3" s="1"/>
  <c r="O535" i="3"/>
  <c r="L657" i="3"/>
  <c r="O657" i="3" s="1"/>
  <c r="K675" i="3"/>
  <c r="K822" i="3"/>
  <c r="K825" i="3"/>
  <c r="K828" i="3"/>
  <c r="L228" i="1"/>
  <c r="L231" i="1"/>
  <c r="I236" i="1"/>
  <c r="O46" i="2"/>
  <c r="O282" i="2"/>
  <c r="O634" i="2"/>
  <c r="L72" i="3"/>
  <c r="O72" i="3" s="1"/>
  <c r="N90" i="3"/>
  <c r="N88" i="3" s="1"/>
  <c r="L135" i="3"/>
  <c r="O135" i="3" s="1"/>
  <c r="M183" i="3"/>
  <c r="M181" i="3" s="1"/>
  <c r="M187" i="3"/>
  <c r="P187" i="3" s="1"/>
  <c r="L525" i="3"/>
  <c r="O525" i="3" s="1"/>
  <c r="N152" i="3"/>
  <c r="P282" i="2"/>
  <c r="N300" i="2"/>
  <c r="N298" i="2" s="1"/>
  <c r="L525" i="2"/>
  <c r="L523" i="2" s="1"/>
  <c r="O523" i="2" s="1"/>
  <c r="J721" i="2"/>
  <c r="K721" i="2" s="1"/>
  <c r="O44" i="3"/>
  <c r="M56" i="3"/>
  <c r="P56" i="3" s="1"/>
  <c r="N23" i="3"/>
  <c r="O74" i="3"/>
  <c r="I77" i="3"/>
  <c r="I65" i="3" s="1"/>
  <c r="K65" i="3" s="1"/>
  <c r="L91" i="3"/>
  <c r="O91" i="3" s="1"/>
  <c r="L151" i="3"/>
  <c r="L149" i="3" s="1"/>
  <c r="O149" i="3" s="1"/>
  <c r="N183" i="3"/>
  <c r="N181" i="3" s="1"/>
  <c r="L183" i="3"/>
  <c r="L181" i="3" s="1"/>
  <c r="L249" i="3"/>
  <c r="O249" i="3" s="1"/>
  <c r="L280" i="3"/>
  <c r="O280" i="3" s="1"/>
  <c r="O306" i="3"/>
  <c r="L317" i="3"/>
  <c r="P323" i="3"/>
  <c r="O333" i="3"/>
  <c r="P353" i="3"/>
  <c r="M405" i="3"/>
  <c r="P405" i="3" s="1"/>
  <c r="L546" i="3"/>
  <c r="O641" i="3"/>
  <c r="K628" i="3"/>
  <c r="L477" i="1"/>
  <c r="O477" i="1" s="1"/>
  <c r="L33" i="3"/>
  <c r="L31" i="3" s="1"/>
  <c r="N43" i="3"/>
  <c r="O61" i="3"/>
  <c r="L138" i="3"/>
  <c r="O138" i="3" s="1"/>
  <c r="L238" i="3"/>
  <c r="O238" i="3" s="1"/>
  <c r="J364" i="3"/>
  <c r="M404" i="3"/>
  <c r="M402" i="3" s="1"/>
  <c r="P402" i="3" s="1"/>
  <c r="O449" i="3"/>
  <c r="N391" i="1"/>
  <c r="N389" i="1" s="1"/>
  <c r="K821" i="1"/>
  <c r="L94" i="2"/>
  <c r="O94" i="2" s="1"/>
  <c r="O173" i="2"/>
  <c r="M304" i="2"/>
  <c r="P304" i="2" s="1"/>
  <c r="K369" i="2"/>
  <c r="K372" i="2"/>
  <c r="K725" i="2"/>
  <c r="P59" i="3"/>
  <c r="P61" i="3"/>
  <c r="I76" i="3"/>
  <c r="K76" i="3" s="1"/>
  <c r="O93" i="3"/>
  <c r="O282" i="3"/>
  <c r="P303" i="3"/>
  <c r="L318" i="3"/>
  <c r="O318" i="3" s="1"/>
  <c r="N330" i="3"/>
  <c r="N328" i="3" s="1"/>
  <c r="K370" i="3"/>
  <c r="M391" i="3"/>
  <c r="P391" i="3" s="1"/>
  <c r="K649" i="3"/>
  <c r="K674" i="3"/>
  <c r="K725" i="3"/>
  <c r="K821" i="3"/>
  <c r="K824" i="3"/>
  <c r="K827" i="3"/>
  <c r="P89" i="3"/>
  <c r="N151" i="1"/>
  <c r="N149" i="1" s="1"/>
  <c r="K190" i="1"/>
  <c r="K207" i="1"/>
  <c r="M55" i="2"/>
  <c r="M53" i="2" s="1"/>
  <c r="M69" i="2"/>
  <c r="P69" i="2" s="1"/>
  <c r="O71" i="2"/>
  <c r="M138" i="2"/>
  <c r="P138" i="2" s="1"/>
  <c r="J143" i="2"/>
  <c r="J131" i="2" s="1"/>
  <c r="O170" i="2"/>
  <c r="L187" i="2"/>
  <c r="O187" i="2" s="1"/>
  <c r="L238" i="2"/>
  <c r="O238" i="2" s="1"/>
  <c r="L230" i="2"/>
  <c r="I276" i="2"/>
  <c r="K276" i="2" s="1"/>
  <c r="M279" i="2"/>
  <c r="M277" i="2" s="1"/>
  <c r="N301" i="2"/>
  <c r="O303" i="2"/>
  <c r="K362" i="2"/>
  <c r="M404" i="2"/>
  <c r="P404" i="2" s="1"/>
  <c r="K673" i="2"/>
  <c r="L688" i="2"/>
  <c r="O688" i="2" s="1"/>
  <c r="K701" i="2"/>
  <c r="K821" i="2"/>
  <c r="K824" i="2"/>
  <c r="K827" i="2"/>
  <c r="M138" i="3"/>
  <c r="P138" i="3" s="1"/>
  <c r="P140" i="3"/>
  <c r="M134" i="3"/>
  <c r="P134" i="3" s="1"/>
  <c r="P182" i="3"/>
  <c r="I233" i="3"/>
  <c r="K233" i="3" s="1"/>
  <c r="K244" i="3"/>
  <c r="I237" i="3"/>
  <c r="P266" i="3"/>
  <c r="M263" i="3"/>
  <c r="O410" i="3"/>
  <c r="L408" i="3"/>
  <c r="O408" i="3" s="1"/>
  <c r="L404" i="3"/>
  <c r="O404" i="3" s="1"/>
  <c r="I434" i="3"/>
  <c r="K438" i="3"/>
  <c r="N525" i="3"/>
  <c r="N33" i="3"/>
  <c r="N30" i="3" s="1"/>
  <c r="N28" i="3" s="1"/>
  <c r="N526" i="3"/>
  <c r="N230" i="1"/>
  <c r="J235" i="1"/>
  <c r="M72" i="2"/>
  <c r="P72" i="2" s="1"/>
  <c r="I190" i="2"/>
  <c r="K190" i="2" s="1"/>
  <c r="M280" i="2"/>
  <c r="P280" i="2" s="1"/>
  <c r="M283" i="2"/>
  <c r="P283" i="2" s="1"/>
  <c r="L330" i="2"/>
  <c r="L328" i="2" s="1"/>
  <c r="O173" i="3"/>
  <c r="L167" i="3"/>
  <c r="K193" i="3"/>
  <c r="I190" i="3"/>
  <c r="K190" i="3" s="1"/>
  <c r="I276" i="3"/>
  <c r="K276" i="3" s="1"/>
  <c r="K287" i="3"/>
  <c r="J582" i="1"/>
  <c r="J576" i="1" s="1"/>
  <c r="I297" i="2"/>
  <c r="K297" i="2" s="1"/>
  <c r="N19" i="3"/>
  <c r="N12" i="3"/>
  <c r="M44" i="3"/>
  <c r="P44" i="3" s="1"/>
  <c r="M23" i="3"/>
  <c r="P46" i="3"/>
  <c r="N69" i="3"/>
  <c r="O69" i="3" s="1"/>
  <c r="P71" i="3"/>
  <c r="O71" i="3"/>
  <c r="N68" i="3"/>
  <c r="L171" i="3"/>
  <c r="O171" i="3" s="1"/>
  <c r="L422" i="3"/>
  <c r="O422" i="3" s="1"/>
  <c r="O424" i="3"/>
  <c r="L421" i="3"/>
  <c r="N183" i="2"/>
  <c r="N181" i="2" s="1"/>
  <c r="M155" i="2"/>
  <c r="P155" i="2" s="1"/>
  <c r="P170" i="2"/>
  <c r="M167" i="2"/>
  <c r="M165" i="2" s="1"/>
  <c r="L209" i="2"/>
  <c r="O209" i="2" s="1"/>
  <c r="L231" i="2"/>
  <c r="M300" i="2"/>
  <c r="M298" i="2" s="1"/>
  <c r="P298" i="2" s="1"/>
  <c r="M334" i="2"/>
  <c r="P334" i="2" s="1"/>
  <c r="O42" i="3"/>
  <c r="M47" i="3"/>
  <c r="P47" i="3" s="1"/>
  <c r="P49" i="3"/>
  <c r="M26" i="3"/>
  <c r="O67" i="3"/>
  <c r="J143" i="3"/>
  <c r="J131" i="3" s="1"/>
  <c r="K144" i="3"/>
  <c r="I417" i="3"/>
  <c r="M502" i="3"/>
  <c r="P502" i="3" s="1"/>
  <c r="P503" i="3"/>
  <c r="K244" i="1"/>
  <c r="K297" i="1"/>
  <c r="K672" i="1"/>
  <c r="L134" i="2"/>
  <c r="O266" i="2"/>
  <c r="M317" i="2"/>
  <c r="M315" i="2" s="1"/>
  <c r="N391" i="2"/>
  <c r="N389" i="2" s="1"/>
  <c r="L533" i="2"/>
  <c r="O533" i="2" s="1"/>
  <c r="K823" i="2"/>
  <c r="K826" i="2"/>
  <c r="L26" i="3"/>
  <c r="O120" i="3"/>
  <c r="K143" i="3"/>
  <c r="I131" i="3"/>
  <c r="K131" i="3" s="1"/>
  <c r="O278" i="3"/>
  <c r="L301" i="3"/>
  <c r="O303" i="3"/>
  <c r="L23" i="3"/>
  <c r="L300" i="3"/>
  <c r="N317" i="3"/>
  <c r="N315" i="3" s="1"/>
  <c r="N318" i="3"/>
  <c r="L347" i="3"/>
  <c r="O353" i="3"/>
  <c r="L351" i="3"/>
  <c r="O351" i="3" s="1"/>
  <c r="O58" i="3"/>
  <c r="P93" i="3"/>
  <c r="K98" i="3"/>
  <c r="N135" i="3"/>
  <c r="M151" i="3"/>
  <c r="P151" i="3" s="1"/>
  <c r="P186" i="3"/>
  <c r="L263" i="3"/>
  <c r="L283" i="3"/>
  <c r="O283" i="3" s="1"/>
  <c r="N347" i="3"/>
  <c r="N345" i="3" s="1"/>
  <c r="O468" i="3"/>
  <c r="N523" i="3"/>
  <c r="O686" i="3"/>
  <c r="P771" i="3"/>
  <c r="M770" i="3"/>
  <c r="P770" i="3" s="1"/>
  <c r="K164" i="3"/>
  <c r="M31" i="3"/>
  <c r="P31" i="3" s="1"/>
  <c r="M55" i="3"/>
  <c r="K145" i="3"/>
  <c r="J288" i="3"/>
  <c r="J275" i="3" s="1"/>
  <c r="K275" i="3" s="1"/>
  <c r="L331" i="3"/>
  <c r="O331" i="3" s="1"/>
  <c r="P390" i="3"/>
  <c r="K435" i="3"/>
  <c r="N444" i="3"/>
  <c r="N414" i="3" s="1"/>
  <c r="J537" i="3"/>
  <c r="J522" i="3" s="1"/>
  <c r="K539" i="3"/>
  <c r="L9" i="3"/>
  <c r="L15" i="3"/>
  <c r="L29" i="3"/>
  <c r="M30" i="3"/>
  <c r="P30" i="3" s="1"/>
  <c r="N55" i="3"/>
  <c r="N53" i="3" s="1"/>
  <c r="K79" i="3"/>
  <c r="I87" i="3"/>
  <c r="K87" i="3" s="1"/>
  <c r="I112" i="3"/>
  <c r="K112" i="3" s="1"/>
  <c r="P120" i="3"/>
  <c r="P137" i="3"/>
  <c r="N167" i="3"/>
  <c r="I248" i="3"/>
  <c r="K248" i="3" s="1"/>
  <c r="P282" i="3"/>
  <c r="P329" i="3"/>
  <c r="P350" i="3"/>
  <c r="O407" i="3"/>
  <c r="L405" i="3"/>
  <c r="O405" i="3" s="1"/>
  <c r="L446" i="3"/>
  <c r="P468" i="3"/>
  <c r="M15" i="3"/>
  <c r="M29" i="3"/>
  <c r="L121" i="3"/>
  <c r="O121" i="3" s="1"/>
  <c r="P150" i="3"/>
  <c r="P170" i="3"/>
  <c r="K174" i="3"/>
  <c r="M279" i="3"/>
  <c r="M318" i="3"/>
  <c r="P318" i="3" s="1"/>
  <c r="M317" i="3"/>
  <c r="P317" i="3" s="1"/>
  <c r="L330" i="3"/>
  <c r="K340" i="3"/>
  <c r="K365" i="3"/>
  <c r="L391" i="3"/>
  <c r="O394" i="3"/>
  <c r="M419" i="3"/>
  <c r="M444" i="3"/>
  <c r="P444" i="3" s="1"/>
  <c r="I543" i="3"/>
  <c r="K543" i="3" s="1"/>
  <c r="K559" i="3"/>
  <c r="P788" i="3"/>
  <c r="M786" i="3"/>
  <c r="P786" i="3" s="1"/>
  <c r="I785" i="3"/>
  <c r="K785" i="3" s="1"/>
  <c r="K800" i="3"/>
  <c r="O806" i="3"/>
  <c r="L805" i="3"/>
  <c r="O805" i="3" s="1"/>
  <c r="L477" i="3"/>
  <c r="O477" i="3" s="1"/>
  <c r="O479" i="3"/>
  <c r="L469" i="3"/>
  <c r="O469" i="3" s="1"/>
  <c r="O524" i="3"/>
  <c r="K577" i="3"/>
  <c r="L632" i="3"/>
  <c r="O632" i="3" s="1"/>
  <c r="O634" i="3"/>
  <c r="N685" i="3"/>
  <c r="P755" i="3"/>
  <c r="M754" i="3"/>
  <c r="P754" i="3" s="1"/>
  <c r="O787" i="3"/>
  <c r="P687" i="3"/>
  <c r="M685" i="3"/>
  <c r="P685" i="3" s="1"/>
  <c r="P738" i="3"/>
  <c r="M737" i="3"/>
  <c r="P737" i="3" s="1"/>
  <c r="K569" i="3"/>
  <c r="P807" i="3"/>
  <c r="M805" i="3"/>
  <c r="P805" i="3" s="1"/>
  <c r="O528" i="3"/>
  <c r="I654" i="3"/>
  <c r="K654" i="3" s="1"/>
  <c r="L658" i="3"/>
  <c r="O658" i="3" s="1"/>
  <c r="O791" i="3"/>
  <c r="L547" i="3"/>
  <c r="O547" i="3" s="1"/>
  <c r="K593" i="3"/>
  <c r="M629" i="3"/>
  <c r="P629" i="3" s="1"/>
  <c r="K576" i="3"/>
  <c r="K651" i="3"/>
  <c r="K672" i="3"/>
  <c r="L688" i="3"/>
  <c r="O688" i="3" s="1"/>
  <c r="M545" i="3"/>
  <c r="K669" i="3"/>
  <c r="L687" i="3"/>
  <c r="O687" i="3" s="1"/>
  <c r="K215" i="1"/>
  <c r="N229" i="1"/>
  <c r="J233" i="1"/>
  <c r="O74" i="2"/>
  <c r="P96" i="2"/>
  <c r="I174" i="2"/>
  <c r="I275" i="2"/>
  <c r="L317" i="2"/>
  <c r="L315" i="2" s="1"/>
  <c r="K385" i="2"/>
  <c r="O91" i="1"/>
  <c r="O127" i="1"/>
  <c r="L55" i="2"/>
  <c r="L53" i="2" s="1"/>
  <c r="L68" i="2"/>
  <c r="O68" i="2" s="1"/>
  <c r="I76" i="2"/>
  <c r="K76" i="2" s="1"/>
  <c r="K340" i="2"/>
  <c r="K378" i="2"/>
  <c r="N228" i="1"/>
  <c r="N231" i="1"/>
  <c r="L317" i="1"/>
  <c r="L315" i="1" s="1"/>
  <c r="N392" i="1"/>
  <c r="N404" i="1"/>
  <c r="N402" i="1" s="1"/>
  <c r="L631" i="1"/>
  <c r="L629" i="1" s="1"/>
  <c r="N68" i="2"/>
  <c r="N66" i="2" s="1"/>
  <c r="J364" i="2"/>
  <c r="L121" i="2"/>
  <c r="O121" i="2" s="1"/>
  <c r="I208" i="2"/>
  <c r="K208" i="2" s="1"/>
  <c r="O331" i="2"/>
  <c r="K628" i="2"/>
  <c r="P170" i="1"/>
  <c r="K822" i="1"/>
  <c r="K825" i="1"/>
  <c r="K828" i="1"/>
  <c r="P154" i="2"/>
  <c r="N187" i="2"/>
  <c r="I260" i="2"/>
  <c r="K260" i="2" s="1"/>
  <c r="N330" i="2"/>
  <c r="N328" i="2" s="1"/>
  <c r="L395" i="2"/>
  <c r="O395" i="2" s="1"/>
  <c r="O410" i="2"/>
  <c r="K649" i="2"/>
  <c r="K290" i="1"/>
  <c r="K379" i="1"/>
  <c r="I86" i="2"/>
  <c r="K86" i="2" s="1"/>
  <c r="K98" i="2"/>
  <c r="N151" i="2"/>
  <c r="N149" i="2" s="1"/>
  <c r="N155" i="2"/>
  <c r="K288" i="2"/>
  <c r="J275" i="2"/>
  <c r="P350" i="2"/>
  <c r="M347" i="2"/>
  <c r="J722" i="1"/>
  <c r="K722" i="1" s="1"/>
  <c r="O93" i="2"/>
  <c r="L184" i="2"/>
  <c r="O184" i="2" s="1"/>
  <c r="L183" i="2"/>
  <c r="L181" i="2" s="1"/>
  <c r="O306" i="2"/>
  <c r="L300" i="2"/>
  <c r="K214" i="1"/>
  <c r="K223" i="1"/>
  <c r="K726" i="1"/>
  <c r="N26" i="2"/>
  <c r="N16" i="2" s="1"/>
  <c r="N14" i="2" s="1"/>
  <c r="L44" i="2"/>
  <c r="O44" i="2" s="1"/>
  <c r="L43" i="2"/>
  <c r="K99" i="2"/>
  <c r="I87" i="2"/>
  <c r="K87" i="2" s="1"/>
  <c r="P127" i="2"/>
  <c r="M121" i="2"/>
  <c r="M125" i="2"/>
  <c r="P125" i="2" s="1"/>
  <c r="I216" i="2"/>
  <c r="K216" i="2" s="1"/>
  <c r="K224" i="2"/>
  <c r="O449" i="2"/>
  <c r="L446" i="2"/>
  <c r="O446" i="2" s="1"/>
  <c r="L33" i="2"/>
  <c r="L31" i="2" s="1"/>
  <c r="O31" i="2" s="1"/>
  <c r="L447" i="2"/>
  <c r="O447" i="2" s="1"/>
  <c r="N134" i="2"/>
  <c r="N132" i="2" s="1"/>
  <c r="J595" i="1"/>
  <c r="M26" i="2"/>
  <c r="M24" i="2" s="1"/>
  <c r="M47" i="2"/>
  <c r="P47" i="2" s="1"/>
  <c r="P61" i="2"/>
  <c r="M59" i="2"/>
  <c r="P59" i="2" s="1"/>
  <c r="P93" i="2"/>
  <c r="N91" i="2"/>
  <c r="P91" i="2" s="1"/>
  <c r="N121" i="2"/>
  <c r="N119" i="2" s="1"/>
  <c r="N122" i="2"/>
  <c r="N283" i="2"/>
  <c r="N279" i="2"/>
  <c r="N277" i="2" s="1"/>
  <c r="O320" i="2"/>
  <c r="N317" i="2"/>
  <c r="N315" i="2" s="1"/>
  <c r="N318" i="2"/>
  <c r="O318" i="2" s="1"/>
  <c r="O394" i="2"/>
  <c r="L391" i="2"/>
  <c r="O391" i="2" s="1"/>
  <c r="L392" i="2"/>
  <c r="O392" i="2" s="1"/>
  <c r="J721" i="1"/>
  <c r="K721" i="1" s="1"/>
  <c r="K801" i="1"/>
  <c r="M43" i="2"/>
  <c r="M41" i="2" s="1"/>
  <c r="N56" i="2"/>
  <c r="P56" i="2" s="1"/>
  <c r="N55" i="2"/>
  <c r="N53" i="2" s="1"/>
  <c r="K146" i="2"/>
  <c r="I130" i="2"/>
  <c r="K130" i="2" s="1"/>
  <c r="M171" i="2"/>
  <c r="P171" i="2" s="1"/>
  <c r="P173" i="2"/>
  <c r="P333" i="2"/>
  <c r="M330" i="2"/>
  <c r="M331" i="2"/>
  <c r="P331" i="2" s="1"/>
  <c r="O353" i="2"/>
  <c r="L347" i="2"/>
  <c r="L351" i="2"/>
  <c r="O351" i="2" s="1"/>
  <c r="O407" i="2"/>
  <c r="L404" i="2"/>
  <c r="O404" i="2" s="1"/>
  <c r="N43" i="2"/>
  <c r="M68" i="2"/>
  <c r="O140" i="2"/>
  <c r="N167" i="2"/>
  <c r="N165" i="2" s="1"/>
  <c r="I197" i="2"/>
  <c r="K197" i="2" s="1"/>
  <c r="M263" i="2"/>
  <c r="O323" i="2"/>
  <c r="O348" i="2"/>
  <c r="I433" i="2"/>
  <c r="I417" i="2" s="1"/>
  <c r="O528" i="2"/>
  <c r="K669" i="2"/>
  <c r="K700" i="2"/>
  <c r="P44" i="2"/>
  <c r="L26" i="2"/>
  <c r="L24" i="2" s="1"/>
  <c r="P58" i="2"/>
  <c r="I112" i="2"/>
  <c r="K112" i="2" s="1"/>
  <c r="L151" i="2"/>
  <c r="L217" i="2"/>
  <c r="O217" i="2" s="1"/>
  <c r="N263" i="2"/>
  <c r="N261" i="2" s="1"/>
  <c r="L279" i="2"/>
  <c r="J327" i="2"/>
  <c r="K327" i="2" s="1"/>
  <c r="K360" i="2"/>
  <c r="I434" i="2"/>
  <c r="L470" i="2"/>
  <c r="O470" i="2" s="1"/>
  <c r="L477" i="2"/>
  <c r="O477" i="2" s="1"/>
  <c r="L631" i="2"/>
  <c r="L629" i="2" s="1"/>
  <c r="O629" i="2" s="1"/>
  <c r="J722" i="2"/>
  <c r="K722" i="2" s="1"/>
  <c r="K822" i="2"/>
  <c r="K825" i="2"/>
  <c r="K828" i="2"/>
  <c r="O152" i="2"/>
  <c r="P168" i="2"/>
  <c r="I77" i="2"/>
  <c r="I65" i="2" s="1"/>
  <c r="K65" i="2" s="1"/>
  <c r="L90" i="2"/>
  <c r="K144" i="2"/>
  <c r="O168" i="2"/>
  <c r="N334" i="2"/>
  <c r="M395" i="2"/>
  <c r="P395" i="2" s="1"/>
  <c r="L454" i="2"/>
  <c r="O454" i="2" s="1"/>
  <c r="K462" i="2"/>
  <c r="L469" i="2"/>
  <c r="K824" i="1"/>
  <c r="K827" i="1"/>
  <c r="O49" i="2"/>
  <c r="M134" i="2"/>
  <c r="M152" i="2"/>
  <c r="P152" i="2" s="1"/>
  <c r="L167" i="2"/>
  <c r="L198" i="2"/>
  <c r="O198" i="2" s="1"/>
  <c r="N264" i="2"/>
  <c r="P264" i="2" s="1"/>
  <c r="O333" i="2"/>
  <c r="O350" i="2"/>
  <c r="K365" i="2"/>
  <c r="M391" i="2"/>
  <c r="P391" i="2" s="1"/>
  <c r="M408" i="2"/>
  <c r="P408" i="2" s="1"/>
  <c r="L422" i="2"/>
  <c r="O422" i="2" s="1"/>
  <c r="J537" i="2"/>
  <c r="K651" i="2"/>
  <c r="K674" i="2"/>
  <c r="N9" i="2"/>
  <c r="L151" i="1"/>
  <c r="L149" i="1" s="1"/>
  <c r="K102" i="1"/>
  <c r="K110" i="1"/>
  <c r="N134" i="1"/>
  <c r="J77" i="1"/>
  <c r="J65" i="1" s="1"/>
  <c r="K83" i="1"/>
  <c r="K103" i="1"/>
  <c r="K107" i="1"/>
  <c r="P127" i="1"/>
  <c r="K225" i="1"/>
  <c r="M47" i="1"/>
  <c r="P47" i="1" s="1"/>
  <c r="P74" i="1"/>
  <c r="N414" i="2"/>
  <c r="M184" i="2"/>
  <c r="P184" i="2" s="1"/>
  <c r="P186" i="2"/>
  <c r="P503" i="2"/>
  <c r="M502" i="2"/>
  <c r="P502" i="2" s="1"/>
  <c r="L555" i="2"/>
  <c r="O555" i="2" s="1"/>
  <c r="O557" i="2"/>
  <c r="I559" i="2"/>
  <c r="K576" i="2"/>
  <c r="P738" i="2"/>
  <c r="M737" i="2"/>
  <c r="P737" i="2" s="1"/>
  <c r="K378" i="1"/>
  <c r="K670" i="1"/>
  <c r="L23" i="2"/>
  <c r="M31" i="2"/>
  <c r="P31" i="2" s="1"/>
  <c r="L36" i="2"/>
  <c r="P46" i="2"/>
  <c r="K80" i="2"/>
  <c r="K83" i="2"/>
  <c r="K116" i="2"/>
  <c r="L429" i="2"/>
  <c r="O429" i="2" s="1"/>
  <c r="O431" i="2"/>
  <c r="L421" i="2"/>
  <c r="O421" i="2" s="1"/>
  <c r="O660" i="2"/>
  <c r="P807" i="2"/>
  <c r="M805" i="2"/>
  <c r="P805" i="2" s="1"/>
  <c r="J236" i="1"/>
  <c r="L9" i="2"/>
  <c r="L15" i="2"/>
  <c r="M23" i="2"/>
  <c r="M21" i="2" s="1"/>
  <c r="L29" i="2"/>
  <c r="M30" i="2"/>
  <c r="P30" i="2" s="1"/>
  <c r="N31" i="2"/>
  <c r="L47" i="2"/>
  <c r="O47" i="2" s="1"/>
  <c r="I143" i="2"/>
  <c r="P182" i="2"/>
  <c r="M187" i="2"/>
  <c r="P187" i="2" s="1"/>
  <c r="P189" i="2"/>
  <c r="M318" i="2"/>
  <c r="P320" i="2"/>
  <c r="M321" i="2"/>
  <c r="P321" i="2" s="1"/>
  <c r="P323" i="2"/>
  <c r="K355" i="2"/>
  <c r="K379" i="2"/>
  <c r="P555" i="2"/>
  <c r="M545" i="2"/>
  <c r="P755" i="2"/>
  <c r="M754" i="2"/>
  <c r="P754" i="2" s="1"/>
  <c r="I785" i="2"/>
  <c r="K785" i="2" s="1"/>
  <c r="K800" i="2"/>
  <c r="O806" i="2"/>
  <c r="L805" i="2"/>
  <c r="O805" i="2" s="1"/>
  <c r="L404" i="1"/>
  <c r="O404" i="1" s="1"/>
  <c r="J561" i="1"/>
  <c r="K561" i="1" s="1"/>
  <c r="N690" i="1"/>
  <c r="N687" i="1" s="1"/>
  <c r="N685" i="1" s="1"/>
  <c r="K728" i="1"/>
  <c r="M15" i="2"/>
  <c r="N23" i="2"/>
  <c r="M29" i="2"/>
  <c r="O58" i="2"/>
  <c r="O61" i="2"/>
  <c r="O124" i="2"/>
  <c r="O127" i="2"/>
  <c r="O154" i="2"/>
  <c r="O157" i="2"/>
  <c r="O316" i="2"/>
  <c r="N657" i="2"/>
  <c r="N655" i="2" s="1"/>
  <c r="N658" i="2"/>
  <c r="O658" i="2" s="1"/>
  <c r="O266" i="1"/>
  <c r="K644" i="1"/>
  <c r="I233" i="2"/>
  <c r="K233" i="2" s="1"/>
  <c r="K244" i="2"/>
  <c r="I237" i="2"/>
  <c r="K370" i="2"/>
  <c r="K465" i="2"/>
  <c r="L546" i="2"/>
  <c r="O546" i="2" s="1"/>
  <c r="L547" i="2"/>
  <c r="O547" i="2" s="1"/>
  <c r="O549" i="2"/>
  <c r="P687" i="2"/>
  <c r="M685" i="2"/>
  <c r="P685" i="2" s="1"/>
  <c r="P788" i="2"/>
  <c r="M786" i="2"/>
  <c r="P786" i="2" s="1"/>
  <c r="K462" i="1"/>
  <c r="M183" i="2"/>
  <c r="L228" i="2"/>
  <c r="L249" i="2"/>
  <c r="K359" i="2"/>
  <c r="P630" i="2"/>
  <c r="M629" i="2"/>
  <c r="P629" i="2" s="1"/>
  <c r="O686" i="2"/>
  <c r="K723" i="2"/>
  <c r="P771" i="2"/>
  <c r="M770" i="2"/>
  <c r="P770" i="2" s="1"/>
  <c r="O787" i="2"/>
  <c r="L786" i="2"/>
  <c r="O786" i="2" s="1"/>
  <c r="O262" i="2"/>
  <c r="P266" i="2"/>
  <c r="P269" i="2"/>
  <c r="P278" i="2"/>
  <c r="L280" i="2"/>
  <c r="O280" i="2" s="1"/>
  <c r="L283" i="2"/>
  <c r="O283" i="2" s="1"/>
  <c r="M348" i="2"/>
  <c r="P348" i="2" s="1"/>
  <c r="M351" i="2"/>
  <c r="P351" i="2" s="1"/>
  <c r="O403" i="2"/>
  <c r="K593" i="2"/>
  <c r="O791" i="2"/>
  <c r="O186" i="2"/>
  <c r="K675" i="2"/>
  <c r="M419" i="2"/>
  <c r="J433" i="2"/>
  <c r="M444" i="2"/>
  <c r="P444" i="2" s="1"/>
  <c r="I248" i="2"/>
  <c r="K248" i="2" s="1"/>
  <c r="L134" i="1"/>
  <c r="L132" i="1" s="1"/>
  <c r="K144" i="1"/>
  <c r="P154" i="1"/>
  <c r="L321" i="1"/>
  <c r="O321" i="1" s="1"/>
  <c r="P348" i="1"/>
  <c r="K385" i="1"/>
  <c r="K435" i="1"/>
  <c r="L657" i="1"/>
  <c r="L655" i="1" s="1"/>
  <c r="L94" i="1"/>
  <c r="O94" i="1" s="1"/>
  <c r="K86" i="1"/>
  <c r="J569" i="1"/>
  <c r="K569" i="1" s="1"/>
  <c r="J583" i="1"/>
  <c r="J577" i="1" s="1"/>
  <c r="K577" i="1" s="1"/>
  <c r="O44" i="1"/>
  <c r="N55" i="1"/>
  <c r="N53" i="1" s="1"/>
  <c r="J100" i="1"/>
  <c r="K100" i="1" s="1"/>
  <c r="K116" i="1"/>
  <c r="K159" i="1"/>
  <c r="N217" i="1"/>
  <c r="K310" i="1"/>
  <c r="P350" i="1"/>
  <c r="K437" i="1"/>
  <c r="J434" i="1"/>
  <c r="J418" i="1" s="1"/>
  <c r="K492" i="1"/>
  <c r="J708" i="1"/>
  <c r="K708" i="1" s="1"/>
  <c r="K720" i="1"/>
  <c r="O46" i="1"/>
  <c r="K79" i="1"/>
  <c r="L217" i="1"/>
  <c r="L279" i="1"/>
  <c r="L277" i="1" s="1"/>
  <c r="J603" i="1"/>
  <c r="K628" i="1"/>
  <c r="J679" i="1"/>
  <c r="J678" i="1" s="1"/>
  <c r="K114" i="1"/>
  <c r="K643" i="1"/>
  <c r="K649" i="1"/>
  <c r="L429" i="1"/>
  <c r="O429" i="1" s="1"/>
  <c r="L238" i="1"/>
  <c r="N449" i="1"/>
  <c r="N446" i="1" s="1"/>
  <c r="N444" i="1" s="1"/>
  <c r="I785" i="1"/>
  <c r="N183" i="1"/>
  <c r="N181" i="1" s="1"/>
  <c r="L55" i="1"/>
  <c r="L53" i="1" s="1"/>
  <c r="O71" i="1"/>
  <c r="M90" i="1"/>
  <c r="M88" i="1" s="1"/>
  <c r="N121" i="1"/>
  <c r="N119" i="1" s="1"/>
  <c r="O186" i="1"/>
  <c r="O282" i="1"/>
  <c r="K647" i="1"/>
  <c r="L90" i="1"/>
  <c r="L88" i="1" s="1"/>
  <c r="L36" i="1"/>
  <c r="O36" i="1" s="1"/>
  <c r="M94" i="1"/>
  <c r="P94" i="1" s="1"/>
  <c r="P186" i="1"/>
  <c r="J237" i="1"/>
  <c r="J226" i="1" s="1"/>
  <c r="J180" i="1" s="1"/>
  <c r="L230" i="1"/>
  <c r="N263" i="1"/>
  <c r="N261" i="1" s="1"/>
  <c r="N300" i="1"/>
  <c r="N298" i="1" s="1"/>
  <c r="K311" i="1"/>
  <c r="P320" i="1"/>
  <c r="O331" i="1"/>
  <c r="P334" i="1"/>
  <c r="P353" i="1"/>
  <c r="K359" i="1"/>
  <c r="K362" i="1"/>
  <c r="K485" i="1"/>
  <c r="K538" i="1"/>
  <c r="K541" i="1"/>
  <c r="K651" i="1"/>
  <c r="K723" i="1"/>
  <c r="N549" i="1"/>
  <c r="N546" i="1" s="1"/>
  <c r="N544" i="1" s="1"/>
  <c r="J620" i="1"/>
  <c r="K620" i="1" s="1"/>
  <c r="O138" i="1"/>
  <c r="K145" i="1"/>
  <c r="K193" i="1"/>
  <c r="K260" i="1"/>
  <c r="N279" i="1"/>
  <c r="N277" i="1" s="1"/>
  <c r="K355" i="1"/>
  <c r="K365" i="1"/>
  <c r="K78" i="1"/>
  <c r="K81" i="1"/>
  <c r="P93" i="1"/>
  <c r="K104" i="1"/>
  <c r="M121" i="1"/>
  <c r="M119" i="1" s="1"/>
  <c r="K146" i="1"/>
  <c r="O170" i="1"/>
  <c r="K293" i="1"/>
  <c r="K312" i="1"/>
  <c r="M408" i="1"/>
  <c r="P408" i="1" s="1"/>
  <c r="K440" i="1"/>
  <c r="L533" i="1"/>
  <c r="O533" i="1" s="1"/>
  <c r="J596" i="1"/>
  <c r="K823" i="1"/>
  <c r="K826" i="1"/>
  <c r="I543" i="1"/>
  <c r="J87" i="1"/>
  <c r="K87" i="1" s="1"/>
  <c r="K99" i="1"/>
  <c r="I237" i="1"/>
  <c r="L263" i="1"/>
  <c r="M391" i="1"/>
  <c r="P391" i="1" s="1"/>
  <c r="L56" i="1"/>
  <c r="N90" i="1"/>
  <c r="N88" i="1" s="1"/>
  <c r="O184" i="1"/>
  <c r="L264" i="1"/>
  <c r="K412" i="1"/>
  <c r="I443" i="1"/>
  <c r="K443" i="1" s="1"/>
  <c r="L209" i="1"/>
  <c r="L229" i="1"/>
  <c r="N264" i="1"/>
  <c r="L267" i="1"/>
  <c r="O267" i="1" s="1"/>
  <c r="L280" i="1"/>
  <c r="O280" i="1" s="1"/>
  <c r="N317" i="1"/>
  <c r="N315" i="1" s="1"/>
  <c r="K325" i="1"/>
  <c r="M347" i="1"/>
  <c r="M345" i="1" s="1"/>
  <c r="K374" i="1"/>
  <c r="M404" i="1"/>
  <c r="P404" i="1" s="1"/>
  <c r="I434" i="1"/>
  <c r="I418" i="1" s="1"/>
  <c r="N472" i="1"/>
  <c r="N470" i="1" s="1"/>
  <c r="N634" i="1"/>
  <c r="O634" i="1" s="1"/>
  <c r="L122" i="1"/>
  <c r="O122" i="1" s="1"/>
  <c r="N198" i="1"/>
  <c r="L546" i="1"/>
  <c r="L544" i="1" s="1"/>
  <c r="P32" i="1"/>
  <c r="M68" i="1"/>
  <c r="M66" i="1" s="1"/>
  <c r="J76" i="1"/>
  <c r="J64" i="1" s="1"/>
  <c r="L168" i="1"/>
  <c r="O168" i="1" s="1"/>
  <c r="L72" i="1"/>
  <c r="O72" i="1" s="1"/>
  <c r="M91" i="1"/>
  <c r="P91" i="1" s="1"/>
  <c r="M125" i="1"/>
  <c r="P125" i="1" s="1"/>
  <c r="I148" i="1"/>
  <c r="K148" i="1" s="1"/>
  <c r="M168" i="1"/>
  <c r="P168" i="1" s="1"/>
  <c r="M187" i="1"/>
  <c r="P187" i="1" s="1"/>
  <c r="L249" i="1"/>
  <c r="O249" i="1" s="1"/>
  <c r="K271" i="1"/>
  <c r="L283" i="1"/>
  <c r="O283" i="1" s="1"/>
  <c r="K294" i="1"/>
  <c r="M318" i="1"/>
  <c r="P318" i="1" s="1"/>
  <c r="L330" i="1"/>
  <c r="L328" i="1" s="1"/>
  <c r="N347" i="1"/>
  <c r="K360" i="1"/>
  <c r="M405" i="1"/>
  <c r="P405" i="1" s="1"/>
  <c r="K487" i="1"/>
  <c r="K498" i="1"/>
  <c r="J568" i="1"/>
  <c r="K568" i="1" s="1"/>
  <c r="J604" i="1"/>
  <c r="L789" i="1"/>
  <c r="K803" i="1"/>
  <c r="I248" i="1"/>
  <c r="K248" i="1" s="1"/>
  <c r="O59" i="1"/>
  <c r="N209" i="1"/>
  <c r="I233" i="1"/>
  <c r="L304" i="1"/>
  <c r="O304" i="1" s="1"/>
  <c r="L555" i="1"/>
  <c r="O555" i="1" s="1"/>
  <c r="J560" i="1"/>
  <c r="K560" i="1" s="1"/>
  <c r="N56" i="1"/>
  <c r="M122" i="1"/>
  <c r="P122" i="1" s="1"/>
  <c r="P124" i="1"/>
  <c r="L167" i="1"/>
  <c r="L165" i="1" s="1"/>
  <c r="M184" i="1"/>
  <c r="P184" i="1" s="1"/>
  <c r="M43" i="1"/>
  <c r="M41" i="1" s="1"/>
  <c r="M44" i="1"/>
  <c r="P44" i="1" s="1"/>
  <c r="K106" i="1"/>
  <c r="K113" i="1"/>
  <c r="J112" i="1"/>
  <c r="I130" i="1"/>
  <c r="K130" i="1" s="1"/>
  <c r="M171" i="1"/>
  <c r="P171" i="1" s="1"/>
  <c r="N167" i="1"/>
  <c r="N165" i="1" s="1"/>
  <c r="K291" i="1"/>
  <c r="L300" i="1"/>
  <c r="O303" i="1"/>
  <c r="K369" i="1"/>
  <c r="K438" i="1"/>
  <c r="J466" i="1"/>
  <c r="K466" i="1" s="1"/>
  <c r="K699" i="1"/>
  <c r="N791" i="1"/>
  <c r="O791" i="1" s="1"/>
  <c r="M26" i="1"/>
  <c r="M24" i="1" s="1"/>
  <c r="N135" i="1"/>
  <c r="O135" i="1" s="1"/>
  <c r="O191" i="1"/>
  <c r="J194" i="1"/>
  <c r="K216" i="1"/>
  <c r="K224" i="1"/>
  <c r="M263" i="1"/>
  <c r="O301" i="1"/>
  <c r="K340" i="1"/>
  <c r="M351" i="1"/>
  <c r="P351" i="1" s="1"/>
  <c r="K370" i="1"/>
  <c r="J364" i="1"/>
  <c r="M392" i="1"/>
  <c r="P392" i="1" s="1"/>
  <c r="N424" i="1"/>
  <c r="N422" i="1" s="1"/>
  <c r="K439" i="1"/>
  <c r="K489" i="1"/>
  <c r="K495" i="1"/>
  <c r="N528" i="1"/>
  <c r="N526" i="1" s="1"/>
  <c r="J621" i="1"/>
  <c r="K621" i="1" s="1"/>
  <c r="K671" i="1"/>
  <c r="K700" i="1"/>
  <c r="J701" i="1"/>
  <c r="K701" i="1" s="1"/>
  <c r="L788" i="1"/>
  <c r="L786" i="1" s="1"/>
  <c r="L9" i="1"/>
  <c r="O12" i="1"/>
  <c r="N9" i="1"/>
  <c r="O15" i="1"/>
  <c r="P22" i="1"/>
  <c r="M19" i="1"/>
  <c r="M12" i="1"/>
  <c r="I112" i="1"/>
  <c r="K115" i="1"/>
  <c r="M56" i="1"/>
  <c r="P58" i="1"/>
  <c r="M152" i="1"/>
  <c r="O346" i="1"/>
  <c r="M135" i="1"/>
  <c r="P137" i="1"/>
  <c r="O140" i="1"/>
  <c r="P150" i="1"/>
  <c r="N152" i="1"/>
  <c r="P69" i="1"/>
  <c r="M155" i="1"/>
  <c r="P155" i="1" s="1"/>
  <c r="K176" i="1"/>
  <c r="I174" i="1"/>
  <c r="L526" i="1"/>
  <c r="L525" i="1"/>
  <c r="L23" i="1"/>
  <c r="P33" i="1"/>
  <c r="L43" i="1"/>
  <c r="P46" i="1"/>
  <c r="O49" i="1"/>
  <c r="L26" i="1"/>
  <c r="L24" i="1" s="1"/>
  <c r="M55" i="1"/>
  <c r="O58" i="1"/>
  <c r="L68" i="1"/>
  <c r="P71" i="1"/>
  <c r="I77" i="1"/>
  <c r="K84" i="1"/>
  <c r="O93" i="1"/>
  <c r="K98" i="1"/>
  <c r="L121" i="1"/>
  <c r="L125" i="1"/>
  <c r="O125" i="1" s="1"/>
  <c r="M134" i="1"/>
  <c r="O137" i="1"/>
  <c r="L187" i="1"/>
  <c r="O187" i="1" s="1"/>
  <c r="L469" i="1"/>
  <c r="L470" i="1"/>
  <c r="L33" i="1"/>
  <c r="J327" i="1"/>
  <c r="K327" i="1" s="1"/>
  <c r="K338" i="1"/>
  <c r="I235" i="1"/>
  <c r="K246" i="1"/>
  <c r="P306" i="1"/>
  <c r="M304" i="1"/>
  <c r="P304" i="1" s="1"/>
  <c r="M300" i="1"/>
  <c r="P35" i="1"/>
  <c r="M34" i="1"/>
  <c r="P34" i="1" s="1"/>
  <c r="P182" i="1"/>
  <c r="M23" i="1"/>
  <c r="L29" i="1"/>
  <c r="K82" i="1"/>
  <c r="K111" i="1"/>
  <c r="J143" i="1"/>
  <c r="M151" i="1"/>
  <c r="L171" i="1"/>
  <c r="O171" i="1" s="1"/>
  <c r="O173" i="1"/>
  <c r="J197" i="1"/>
  <c r="K197" i="1" s="1"/>
  <c r="K204" i="1"/>
  <c r="O61" i="1"/>
  <c r="L69" i="1"/>
  <c r="O69" i="1" s="1"/>
  <c r="I76" i="1"/>
  <c r="L155" i="1"/>
  <c r="O155" i="1" s="1"/>
  <c r="O157" i="1"/>
  <c r="M30" i="1"/>
  <c r="P30" i="1" s="1"/>
  <c r="M15" i="1"/>
  <c r="N23" i="1"/>
  <c r="N21" i="1" s="1"/>
  <c r="M29" i="1"/>
  <c r="O32" i="1"/>
  <c r="N43" i="1"/>
  <c r="N26" i="1"/>
  <c r="N16" i="1" s="1"/>
  <c r="N14" i="1" s="1"/>
  <c r="N47" i="1"/>
  <c r="M59" i="1"/>
  <c r="P59" i="1" s="1"/>
  <c r="P61" i="1"/>
  <c r="N68" i="1"/>
  <c r="K80" i="1"/>
  <c r="P89" i="1"/>
  <c r="K109" i="1"/>
  <c r="K118" i="1"/>
  <c r="M138" i="1"/>
  <c r="P138" i="1" s="1"/>
  <c r="P140" i="1"/>
  <c r="L152" i="1"/>
  <c r="O154" i="1"/>
  <c r="I276" i="1"/>
  <c r="K276" i="1" s="1"/>
  <c r="K287" i="1"/>
  <c r="I388" i="1"/>
  <c r="K388" i="1" s="1"/>
  <c r="K400" i="1"/>
  <c r="N405" i="1"/>
  <c r="P323" i="1"/>
  <c r="M317" i="1"/>
  <c r="P333" i="1"/>
  <c r="M330" i="1"/>
  <c r="M331" i="1"/>
  <c r="P331" i="1" s="1"/>
  <c r="L334" i="1"/>
  <c r="O334" i="1" s="1"/>
  <c r="O336" i="1"/>
  <c r="M167" i="1"/>
  <c r="K206" i="1"/>
  <c r="J208" i="1"/>
  <c r="K208" i="1" s="1"/>
  <c r="N238" i="1"/>
  <c r="O278" i="1"/>
  <c r="P282" i="1"/>
  <c r="M280" i="1"/>
  <c r="P280" i="1" s="1"/>
  <c r="K309" i="1"/>
  <c r="M321" i="1"/>
  <c r="P321" i="1" s="1"/>
  <c r="N330" i="1"/>
  <c r="N328" i="1" s="1"/>
  <c r="P336" i="1"/>
  <c r="M395" i="1"/>
  <c r="P395" i="1" s="1"/>
  <c r="I417" i="1"/>
  <c r="K417" i="1" s="1"/>
  <c r="K433" i="1"/>
  <c r="L183" i="1"/>
  <c r="L198" i="1"/>
  <c r="N249" i="1"/>
  <c r="O262" i="1"/>
  <c r="P266" i="1"/>
  <c r="M264" i="1"/>
  <c r="P285" i="1"/>
  <c r="M283" i="1"/>
  <c r="P283" i="1" s="1"/>
  <c r="O320" i="1"/>
  <c r="L318" i="1"/>
  <c r="O318" i="1" s="1"/>
  <c r="K314" i="1"/>
  <c r="L421" i="1"/>
  <c r="L422" i="1"/>
  <c r="J442" i="1"/>
  <c r="K442" i="1" s="1"/>
  <c r="K460" i="1"/>
  <c r="M544" i="1"/>
  <c r="P544" i="1" s="1"/>
  <c r="P545" i="1"/>
  <c r="L770" i="1"/>
  <c r="O770" i="1" s="1"/>
  <c r="O772" i="1"/>
  <c r="M183" i="1"/>
  <c r="P269" i="1"/>
  <c r="M267" i="1"/>
  <c r="P267" i="1" s="1"/>
  <c r="O299" i="1"/>
  <c r="P303" i="1"/>
  <c r="M301" i="1"/>
  <c r="P301" i="1" s="1"/>
  <c r="O353" i="1"/>
  <c r="L351" i="1"/>
  <c r="O351" i="1" s="1"/>
  <c r="O503" i="1"/>
  <c r="L502" i="1"/>
  <c r="O502" i="1" s="1"/>
  <c r="K381" i="1"/>
  <c r="O410" i="1"/>
  <c r="L408" i="1"/>
  <c r="O408" i="1" s="1"/>
  <c r="M502" i="1"/>
  <c r="P502" i="1" s="1"/>
  <c r="P503" i="1"/>
  <c r="J537" i="1"/>
  <c r="N660" i="1"/>
  <c r="O660" i="1" s="1"/>
  <c r="K674" i="1"/>
  <c r="J675" i="1"/>
  <c r="K725" i="1"/>
  <c r="N772" i="1"/>
  <c r="N770" i="1" s="1"/>
  <c r="N773" i="1"/>
  <c r="P806" i="1"/>
  <c r="M805" i="1"/>
  <c r="P805" i="1" s="1"/>
  <c r="P390" i="1"/>
  <c r="O394" i="1"/>
  <c r="L392" i="1"/>
  <c r="O392" i="1" s="1"/>
  <c r="O456" i="1"/>
  <c r="L446" i="1"/>
  <c r="I592" i="1"/>
  <c r="L754" i="1"/>
  <c r="O754" i="1" s="1"/>
  <c r="O756" i="1"/>
  <c r="O350" i="1"/>
  <c r="L348" i="1"/>
  <c r="O348" i="1" s="1"/>
  <c r="M629" i="1"/>
  <c r="P629" i="1" s="1"/>
  <c r="P631" i="1"/>
  <c r="N756" i="1"/>
  <c r="N754" i="1" s="1"/>
  <c r="N757" i="1"/>
  <c r="J288" i="1"/>
  <c r="J275" i="1" s="1"/>
  <c r="K275" i="1" s="1"/>
  <c r="O333" i="1"/>
  <c r="L347" i="1"/>
  <c r="K372" i="1"/>
  <c r="P403" i="1"/>
  <c r="O407" i="1"/>
  <c r="L405" i="1"/>
  <c r="O405" i="1" s="1"/>
  <c r="J465" i="1"/>
  <c r="K465" i="1" s="1"/>
  <c r="K542" i="1"/>
  <c r="O630" i="1"/>
  <c r="L632" i="1"/>
  <c r="K673" i="1"/>
  <c r="L737" i="1"/>
  <c r="O737" i="1" s="1"/>
  <c r="O739" i="1"/>
  <c r="J785" i="1"/>
  <c r="K247" i="1"/>
  <c r="I364" i="1"/>
  <c r="L391" i="1"/>
  <c r="O397" i="1"/>
  <c r="L395" i="1"/>
  <c r="O395" i="1" s="1"/>
  <c r="I654" i="1"/>
  <c r="L687" i="1"/>
  <c r="N739" i="1"/>
  <c r="N737" i="1" s="1"/>
  <c r="N740" i="1"/>
  <c r="O641" i="1"/>
  <c r="P88" i="20" l="1"/>
  <c r="O347" i="18"/>
  <c r="L786" i="10"/>
  <c r="O786" i="10" s="1"/>
  <c r="P263" i="18"/>
  <c r="L165" i="17"/>
  <c r="O165" i="17" s="1"/>
  <c r="O90" i="21"/>
  <c r="O132" i="17"/>
  <c r="O90" i="20"/>
  <c r="L419" i="20"/>
  <c r="P90" i="21"/>
  <c r="P184" i="19"/>
  <c r="O631" i="21"/>
  <c r="K364" i="20"/>
  <c r="K417" i="20"/>
  <c r="O279" i="21"/>
  <c r="O263" i="19"/>
  <c r="P280" i="21"/>
  <c r="O183" i="21"/>
  <c r="O68" i="21"/>
  <c r="P347" i="20"/>
  <c r="P264" i="7"/>
  <c r="L655" i="8"/>
  <c r="O655" i="8" s="1"/>
  <c r="K785" i="21"/>
  <c r="O279" i="16"/>
  <c r="L786" i="18"/>
  <c r="O786" i="18" s="1"/>
  <c r="P167" i="19"/>
  <c r="P279" i="16"/>
  <c r="K434" i="19"/>
  <c r="P91" i="19"/>
  <c r="L655" i="16"/>
  <c r="O655" i="16" s="1"/>
  <c r="O347" i="20"/>
  <c r="L66" i="21"/>
  <c r="O66" i="21" s="1"/>
  <c r="L149" i="21"/>
  <c r="O149" i="21" s="1"/>
  <c r="O151" i="12"/>
  <c r="O90" i="19"/>
  <c r="M277" i="16"/>
  <c r="P277" i="16" s="1"/>
  <c r="P41" i="21"/>
  <c r="O165" i="19"/>
  <c r="O43" i="21"/>
  <c r="P165" i="20"/>
  <c r="O788" i="12"/>
  <c r="P300" i="21"/>
  <c r="O655" i="2"/>
  <c r="O263" i="16"/>
  <c r="L34" i="19"/>
  <c r="O34" i="19" s="1"/>
  <c r="O33" i="21"/>
  <c r="P263" i="16"/>
  <c r="O421" i="21"/>
  <c r="P134" i="17"/>
  <c r="O330" i="19"/>
  <c r="P168" i="19"/>
  <c r="L30" i="21"/>
  <c r="L28" i="21" s="1"/>
  <c r="P55" i="21"/>
  <c r="M402" i="15"/>
  <c r="P402" i="15" s="1"/>
  <c r="P181" i="19"/>
  <c r="O55" i="17"/>
  <c r="K785" i="18"/>
  <c r="P68" i="21"/>
  <c r="P66" i="21"/>
  <c r="L389" i="14"/>
  <c r="O389" i="14" s="1"/>
  <c r="P55" i="17"/>
  <c r="P328" i="19"/>
  <c r="L402" i="19"/>
  <c r="O402" i="19" s="1"/>
  <c r="M402" i="20"/>
  <c r="P402" i="20" s="1"/>
  <c r="O279" i="20"/>
  <c r="P277" i="21"/>
  <c r="O53" i="17"/>
  <c r="O151" i="20"/>
  <c r="O69" i="21"/>
  <c r="P317" i="14"/>
  <c r="P44" i="14"/>
  <c r="P279" i="21"/>
  <c r="P183" i="20"/>
  <c r="N13" i="21"/>
  <c r="N11" i="21" s="1"/>
  <c r="O546" i="21"/>
  <c r="M119" i="21"/>
  <c r="P119" i="21" s="1"/>
  <c r="M149" i="21"/>
  <c r="P149" i="21" s="1"/>
  <c r="P43" i="21"/>
  <c r="O631" i="19"/>
  <c r="P330" i="19"/>
  <c r="O300" i="20"/>
  <c r="L685" i="18"/>
  <c r="O685" i="18" s="1"/>
  <c r="L655" i="19"/>
  <c r="O655" i="19" s="1"/>
  <c r="P328" i="20"/>
  <c r="O328" i="20"/>
  <c r="L88" i="21"/>
  <c r="O88" i="21" s="1"/>
  <c r="L34" i="21"/>
  <c r="O34" i="21" s="1"/>
  <c r="O66" i="9"/>
  <c r="N24" i="20"/>
  <c r="O24" i="20" s="1"/>
  <c r="O134" i="11"/>
  <c r="M402" i="16"/>
  <c r="P402" i="16" s="1"/>
  <c r="O90" i="16"/>
  <c r="N20" i="21"/>
  <c r="N18" i="21" s="1"/>
  <c r="P181" i="20"/>
  <c r="P263" i="20"/>
  <c r="L132" i="8"/>
  <c r="O132" i="8" s="1"/>
  <c r="K785" i="16"/>
  <c r="O183" i="19"/>
  <c r="P167" i="20"/>
  <c r="P263" i="17"/>
  <c r="P298" i="20"/>
  <c r="O280" i="21"/>
  <c r="O181" i="18"/>
  <c r="O68" i="20"/>
  <c r="P43" i="20"/>
  <c r="L41" i="21"/>
  <c r="O41" i="21" s="1"/>
  <c r="M389" i="20"/>
  <c r="P389" i="20" s="1"/>
  <c r="O43" i="20"/>
  <c r="K433" i="20"/>
  <c r="I543" i="21"/>
  <c r="K543" i="21" s="1"/>
  <c r="N16" i="21"/>
  <c r="N14" i="21" s="1"/>
  <c r="M149" i="16"/>
  <c r="P149" i="16" s="1"/>
  <c r="L389" i="20"/>
  <c r="O389" i="20" s="1"/>
  <c r="M261" i="20"/>
  <c r="P261" i="20" s="1"/>
  <c r="O167" i="20"/>
  <c r="M315" i="20"/>
  <c r="P315" i="20" s="1"/>
  <c r="O298" i="20"/>
  <c r="P347" i="21"/>
  <c r="M298" i="21"/>
  <c r="P298" i="21" s="1"/>
  <c r="K76" i="21"/>
  <c r="N24" i="21"/>
  <c r="O345" i="21"/>
  <c r="P41" i="20"/>
  <c r="O151" i="15"/>
  <c r="K364" i="18"/>
  <c r="P68" i="18"/>
  <c r="L444" i="19"/>
  <c r="O444" i="19" s="1"/>
  <c r="M119" i="20"/>
  <c r="P119" i="20" s="1"/>
  <c r="P55" i="20"/>
  <c r="P151" i="20"/>
  <c r="O688" i="17"/>
  <c r="P279" i="17"/>
  <c r="P183" i="19"/>
  <c r="I164" i="19"/>
  <c r="K164" i="19" s="1"/>
  <c r="L655" i="20"/>
  <c r="O655" i="20" s="1"/>
  <c r="P300" i="20"/>
  <c r="P90" i="20"/>
  <c r="L444" i="21"/>
  <c r="O444" i="21" s="1"/>
  <c r="P345" i="15"/>
  <c r="O469" i="17"/>
  <c r="K364" i="21"/>
  <c r="L315" i="21"/>
  <c r="O315" i="21" s="1"/>
  <c r="P90" i="17"/>
  <c r="O469" i="20"/>
  <c r="L345" i="20"/>
  <c r="O345" i="20" s="1"/>
  <c r="O41" i="20"/>
  <c r="O330" i="21"/>
  <c r="L277" i="21"/>
  <c r="O277" i="21" s="1"/>
  <c r="O347" i="21"/>
  <c r="M402" i="21"/>
  <c r="P402" i="21" s="1"/>
  <c r="P404" i="21"/>
  <c r="O184" i="9"/>
  <c r="O347" i="19"/>
  <c r="P55" i="19"/>
  <c r="K559" i="19"/>
  <c r="M13" i="20"/>
  <c r="M11" i="20" s="1"/>
  <c r="N149" i="20"/>
  <c r="O149" i="20" s="1"/>
  <c r="P91" i="21"/>
  <c r="O184" i="14"/>
  <c r="P330" i="17"/>
  <c r="P90" i="19"/>
  <c r="L786" i="19"/>
  <c r="O786" i="19" s="1"/>
  <c r="P41" i="19"/>
  <c r="P330" i="20"/>
  <c r="L132" i="20"/>
  <c r="O132" i="20" s="1"/>
  <c r="P88" i="19"/>
  <c r="O183" i="20"/>
  <c r="O330" i="16"/>
  <c r="O43" i="17"/>
  <c r="L402" i="13"/>
  <c r="O402" i="13" s="1"/>
  <c r="K364" i="15"/>
  <c r="M328" i="17"/>
  <c r="P328" i="17" s="1"/>
  <c r="L34" i="20"/>
  <c r="O34" i="20" s="1"/>
  <c r="O263" i="20"/>
  <c r="I131" i="14"/>
  <c r="K131" i="14" s="1"/>
  <c r="P331" i="15"/>
  <c r="L277" i="19"/>
  <c r="O277" i="19" s="1"/>
  <c r="L544" i="20"/>
  <c r="O544" i="20" s="1"/>
  <c r="L402" i="21"/>
  <c r="O402" i="21" s="1"/>
  <c r="O657" i="21"/>
  <c r="L655" i="21"/>
  <c r="O655" i="21" s="1"/>
  <c r="K77" i="16"/>
  <c r="P183" i="17"/>
  <c r="L298" i="19"/>
  <c r="O298" i="19" s="1"/>
  <c r="L165" i="20"/>
  <c r="O165" i="20" s="1"/>
  <c r="N328" i="21"/>
  <c r="O328" i="21" s="1"/>
  <c r="P330" i="21"/>
  <c r="M389" i="17"/>
  <c r="P389" i="17" s="1"/>
  <c r="P135" i="17"/>
  <c r="N13" i="19"/>
  <c r="N11" i="19" s="1"/>
  <c r="I164" i="20"/>
  <c r="K164" i="20" s="1"/>
  <c r="O348" i="21"/>
  <c r="N53" i="21"/>
  <c r="K143" i="21"/>
  <c r="I131" i="21"/>
  <c r="K131" i="21" s="1"/>
  <c r="L389" i="11"/>
  <c r="O389" i="11" s="1"/>
  <c r="L132" i="19"/>
  <c r="O132" i="19" s="1"/>
  <c r="L227" i="20"/>
  <c r="L132" i="21"/>
  <c r="O132" i="21" s="1"/>
  <c r="K275" i="21"/>
  <c r="O55" i="21"/>
  <c r="O134" i="17"/>
  <c r="O43" i="19"/>
  <c r="L261" i="19"/>
  <c r="O261" i="19" s="1"/>
  <c r="L66" i="20"/>
  <c r="O66" i="20" s="1"/>
  <c r="L685" i="21"/>
  <c r="O685" i="21" s="1"/>
  <c r="M414" i="21"/>
  <c r="P414" i="21" s="1"/>
  <c r="K174" i="21"/>
  <c r="I164" i="21"/>
  <c r="K164" i="21" s="1"/>
  <c r="P167" i="21"/>
  <c r="N165" i="21"/>
  <c r="O165" i="21" s="1"/>
  <c r="P345" i="21"/>
  <c r="O19" i="21"/>
  <c r="K433" i="21"/>
  <c r="O167" i="21"/>
  <c r="O26" i="21"/>
  <c r="L16" i="21"/>
  <c r="O23" i="21"/>
  <c r="L20" i="21"/>
  <c r="L13" i="21"/>
  <c r="L11" i="21" s="1"/>
  <c r="L21" i="21"/>
  <c r="O21" i="21" s="1"/>
  <c r="M9" i="21"/>
  <c r="P12" i="21"/>
  <c r="L24" i="21"/>
  <c r="M315" i="10"/>
  <c r="P315" i="10" s="1"/>
  <c r="L544" i="16"/>
  <c r="O544" i="16" s="1"/>
  <c r="K364" i="19"/>
  <c r="O261" i="20"/>
  <c r="N261" i="21"/>
  <c r="O261" i="21" s="1"/>
  <c r="P263" i="21"/>
  <c r="O469" i="21"/>
  <c r="L467" i="21"/>
  <c r="O467" i="21" s="1"/>
  <c r="N9" i="21"/>
  <c r="N419" i="21"/>
  <c r="I65" i="21"/>
  <c r="K65" i="21" s="1"/>
  <c r="K77" i="21"/>
  <c r="O12" i="21"/>
  <c r="L9" i="21"/>
  <c r="K417" i="21"/>
  <c r="O301" i="21"/>
  <c r="P19" i="21"/>
  <c r="O263" i="21"/>
  <c r="O66" i="17"/>
  <c r="P168" i="20"/>
  <c r="P134" i="21"/>
  <c r="M132" i="21"/>
  <c r="P132" i="21" s="1"/>
  <c r="K237" i="21"/>
  <c r="I226" i="21"/>
  <c r="M315" i="21"/>
  <c r="P315" i="21" s="1"/>
  <c r="O330" i="15"/>
  <c r="L402" i="15"/>
  <c r="O402" i="15" s="1"/>
  <c r="P43" i="19"/>
  <c r="K288" i="20"/>
  <c r="O168" i="20"/>
  <c r="K434" i="21"/>
  <c r="I418" i="21"/>
  <c r="K418" i="21" s="1"/>
  <c r="L227" i="21"/>
  <c r="P23" i="21"/>
  <c r="M20" i="21"/>
  <c r="M13" i="21"/>
  <c r="M11" i="21" s="1"/>
  <c r="P29" i="21"/>
  <c r="M28" i="21"/>
  <c r="P28" i="21" s="1"/>
  <c r="L149" i="14"/>
  <c r="O149" i="14" s="1"/>
  <c r="P298" i="16"/>
  <c r="P121" i="18"/>
  <c r="M132" i="18"/>
  <c r="P132" i="18" s="1"/>
  <c r="P279" i="20"/>
  <c r="O91" i="20"/>
  <c r="O331" i="21"/>
  <c r="L523" i="21"/>
  <c r="O523" i="21" s="1"/>
  <c r="N629" i="21"/>
  <c r="O629" i="21" s="1"/>
  <c r="K288" i="21"/>
  <c r="O184" i="21"/>
  <c r="N31" i="21"/>
  <c r="O31" i="21" s="1"/>
  <c r="N30" i="21"/>
  <c r="N28" i="21" s="1"/>
  <c r="M88" i="21"/>
  <c r="P26" i="21"/>
  <c r="M16" i="21"/>
  <c r="M24" i="21"/>
  <c r="O121" i="21"/>
  <c r="L119" i="21"/>
  <c r="O119" i="21" s="1"/>
  <c r="P15" i="21"/>
  <c r="P183" i="21"/>
  <c r="N181" i="21"/>
  <c r="P181" i="21" s="1"/>
  <c r="O470" i="21"/>
  <c r="L389" i="21"/>
  <c r="O389" i="21" s="1"/>
  <c r="O391" i="21"/>
  <c r="O300" i="21"/>
  <c r="L298" i="21"/>
  <c r="O298" i="21" s="1"/>
  <c r="M21" i="21"/>
  <c r="P21" i="21" s="1"/>
  <c r="M389" i="21"/>
  <c r="P389" i="21" s="1"/>
  <c r="N786" i="21"/>
  <c r="O786" i="21" s="1"/>
  <c r="L181" i="20"/>
  <c r="O181" i="20" s="1"/>
  <c r="L34" i="9"/>
  <c r="O34" i="9" s="1"/>
  <c r="O330" i="20"/>
  <c r="L444" i="20"/>
  <c r="O444" i="20" s="1"/>
  <c r="N53" i="20"/>
  <c r="P53" i="20" s="1"/>
  <c r="O88" i="7"/>
  <c r="O404" i="20"/>
  <c r="L402" i="20"/>
  <c r="O402" i="20" s="1"/>
  <c r="L88" i="20"/>
  <c r="O88" i="20" s="1"/>
  <c r="L315" i="20"/>
  <c r="O315" i="20" s="1"/>
  <c r="O317" i="20"/>
  <c r="O301" i="20"/>
  <c r="M132" i="20"/>
  <c r="P132" i="20" s="1"/>
  <c r="P134" i="20"/>
  <c r="O317" i="19"/>
  <c r="L315" i="19"/>
  <c r="O315" i="19" s="1"/>
  <c r="N277" i="20"/>
  <c r="O277" i="20" s="1"/>
  <c r="L629" i="20"/>
  <c r="O629" i="20" s="1"/>
  <c r="O631" i="20"/>
  <c r="M66" i="20"/>
  <c r="P66" i="20" s="1"/>
  <c r="P68" i="20"/>
  <c r="P345" i="19"/>
  <c r="L66" i="16"/>
  <c r="O66" i="16" s="1"/>
  <c r="L41" i="19"/>
  <c r="O41" i="19" s="1"/>
  <c r="N20" i="19"/>
  <c r="N18" i="19" s="1"/>
  <c r="M277" i="19"/>
  <c r="P277" i="19" s="1"/>
  <c r="P300" i="19"/>
  <c r="M345" i="20"/>
  <c r="P345" i="20" s="1"/>
  <c r="O419" i="20"/>
  <c r="M16" i="20"/>
  <c r="P26" i="20"/>
  <c r="M24" i="20"/>
  <c r="M20" i="20"/>
  <c r="M18" i="20" s="1"/>
  <c r="P280" i="20"/>
  <c r="K143" i="20"/>
  <c r="I131" i="20"/>
  <c r="K131" i="20" s="1"/>
  <c r="P165" i="15"/>
  <c r="O167" i="15"/>
  <c r="O56" i="17"/>
  <c r="O68" i="19"/>
  <c r="K559" i="20"/>
  <c r="I543" i="20"/>
  <c r="K543" i="20" s="1"/>
  <c r="I64" i="20"/>
  <c r="K64" i="20" s="1"/>
  <c r="K76" i="20"/>
  <c r="N20" i="20"/>
  <c r="N18" i="20" s="1"/>
  <c r="N13" i="20"/>
  <c r="N11" i="20" s="1"/>
  <c r="P23" i="20"/>
  <c r="N21" i="20"/>
  <c r="O55" i="20"/>
  <c r="L53" i="20"/>
  <c r="O422" i="20"/>
  <c r="P12" i="20"/>
  <c r="M9" i="20"/>
  <c r="L786" i="8"/>
  <c r="O786" i="8" s="1"/>
  <c r="L655" i="11"/>
  <c r="O655" i="11" s="1"/>
  <c r="M119" i="13"/>
  <c r="P119" i="13" s="1"/>
  <c r="K417" i="17"/>
  <c r="L402" i="18"/>
  <c r="O402" i="18" s="1"/>
  <c r="M165" i="19"/>
  <c r="P165" i="19" s="1"/>
  <c r="M119" i="19"/>
  <c r="P119" i="19" s="1"/>
  <c r="M414" i="20"/>
  <c r="P414" i="20" s="1"/>
  <c r="P419" i="20"/>
  <c r="P545" i="20"/>
  <c r="M544" i="20"/>
  <c r="P544" i="20" s="1"/>
  <c r="O15" i="20"/>
  <c r="M402" i="18"/>
  <c r="P402" i="18" s="1"/>
  <c r="N37" i="19"/>
  <c r="O21" i="19"/>
  <c r="N9" i="20"/>
  <c r="M28" i="20"/>
  <c r="P28" i="20" s="1"/>
  <c r="P29" i="20"/>
  <c r="P68" i="11"/>
  <c r="L419" i="19"/>
  <c r="O419" i="19" s="1"/>
  <c r="O525" i="20"/>
  <c r="L523" i="20"/>
  <c r="O523" i="20" s="1"/>
  <c r="I418" i="20"/>
  <c r="K418" i="20" s="1"/>
  <c r="K434" i="20"/>
  <c r="O9" i="20"/>
  <c r="N467" i="20"/>
  <c r="L685" i="20"/>
  <c r="O685" i="20" s="1"/>
  <c r="O687" i="20"/>
  <c r="I65" i="20"/>
  <c r="K65" i="20" s="1"/>
  <c r="K77" i="20"/>
  <c r="K365" i="20"/>
  <c r="L20" i="20"/>
  <c r="L16" i="20"/>
  <c r="O16" i="20" s="1"/>
  <c r="O26" i="20"/>
  <c r="K248" i="20"/>
  <c r="I226" i="20"/>
  <c r="O121" i="20"/>
  <c r="L119" i="20"/>
  <c r="O119" i="20" s="1"/>
  <c r="O33" i="20"/>
  <c r="L13" i="20"/>
  <c r="L30" i="20"/>
  <c r="L31" i="20"/>
  <c r="O31" i="20" s="1"/>
  <c r="P19" i="20"/>
  <c r="O23" i="20"/>
  <c r="K77" i="17"/>
  <c r="M149" i="18"/>
  <c r="P149" i="18" s="1"/>
  <c r="O88" i="18"/>
  <c r="P165" i="18"/>
  <c r="O167" i="19"/>
  <c r="O264" i="19"/>
  <c r="L227" i="19"/>
  <c r="P317" i="19"/>
  <c r="M315" i="19"/>
  <c r="P315" i="19" s="1"/>
  <c r="K785" i="15"/>
  <c r="O331" i="18"/>
  <c r="K654" i="19"/>
  <c r="I226" i="19"/>
  <c r="K226" i="19" s="1"/>
  <c r="L20" i="17"/>
  <c r="L18" i="17" s="1"/>
  <c r="P183" i="18"/>
  <c r="K559" i="10"/>
  <c r="L345" i="19"/>
  <c r="O345" i="19" s="1"/>
  <c r="K433" i="19"/>
  <c r="I417" i="19"/>
  <c r="K417" i="19" s="1"/>
  <c r="L544" i="19"/>
  <c r="O544" i="19" s="1"/>
  <c r="O546" i="19"/>
  <c r="O525" i="19"/>
  <c r="L523" i="19"/>
  <c r="O523" i="19" s="1"/>
  <c r="M402" i="19"/>
  <c r="P402" i="19" s="1"/>
  <c r="P404" i="19"/>
  <c r="O183" i="18"/>
  <c r="L328" i="19"/>
  <c r="O328" i="19" s="1"/>
  <c r="L88" i="19"/>
  <c r="O88" i="19" s="1"/>
  <c r="L119" i="19"/>
  <c r="O119" i="19" s="1"/>
  <c r="M261" i="19"/>
  <c r="P261" i="19" s="1"/>
  <c r="P263" i="19"/>
  <c r="O330" i="6"/>
  <c r="P59" i="18"/>
  <c r="L34" i="18"/>
  <c r="O34" i="18" s="1"/>
  <c r="J417" i="18"/>
  <c r="K417" i="18" s="1"/>
  <c r="L66" i="19"/>
  <c r="O66" i="19" s="1"/>
  <c r="P347" i="19"/>
  <c r="O469" i="19"/>
  <c r="L467" i="19"/>
  <c r="O467" i="19" s="1"/>
  <c r="O55" i="19"/>
  <c r="L53" i="19"/>
  <c r="O53" i="19" s="1"/>
  <c r="O12" i="19"/>
  <c r="L9" i="19"/>
  <c r="P167" i="15"/>
  <c r="K77" i="19"/>
  <c r="I65" i="19"/>
  <c r="K65" i="19" s="1"/>
  <c r="L16" i="19"/>
  <c r="O26" i="19"/>
  <c r="L24" i="19"/>
  <c r="O657" i="18"/>
  <c r="L655" i="18"/>
  <c r="O655" i="18" s="1"/>
  <c r="L149" i="19"/>
  <c r="O149" i="19" s="1"/>
  <c r="M402" i="8"/>
  <c r="P402" i="8" s="1"/>
  <c r="O421" i="11"/>
  <c r="L655" i="15"/>
  <c r="O655" i="15" s="1"/>
  <c r="M414" i="19"/>
  <c r="P414" i="19" s="1"/>
  <c r="P419" i="19"/>
  <c r="M132" i="19"/>
  <c r="P132" i="19" s="1"/>
  <c r="P134" i="19"/>
  <c r="P29" i="19"/>
  <c r="M28" i="19"/>
  <c r="P28" i="19" s="1"/>
  <c r="O33" i="19"/>
  <c r="L31" i="19"/>
  <c r="O31" i="19" s="1"/>
  <c r="L30" i="19"/>
  <c r="P15" i="19"/>
  <c r="O19" i="19"/>
  <c r="O36" i="17"/>
  <c r="P347" i="13"/>
  <c r="L13" i="17"/>
  <c r="L11" i="17" s="1"/>
  <c r="L523" i="18"/>
  <c r="O523" i="18" s="1"/>
  <c r="I131" i="19"/>
  <c r="K131" i="19" s="1"/>
  <c r="K143" i="19"/>
  <c r="P391" i="19"/>
  <c r="M389" i="19"/>
  <c r="P389" i="19" s="1"/>
  <c r="P12" i="19"/>
  <c r="M9" i="19"/>
  <c r="M16" i="19"/>
  <c r="P26" i="19"/>
  <c r="N16" i="19"/>
  <c r="N14" i="19" s="1"/>
  <c r="N24" i="19"/>
  <c r="P24" i="19" s="1"/>
  <c r="P68" i="19"/>
  <c r="M66" i="19"/>
  <c r="P66" i="19" s="1"/>
  <c r="P151" i="19"/>
  <c r="M149" i="19"/>
  <c r="P149" i="19" s="1"/>
  <c r="O347" i="16"/>
  <c r="L315" i="17"/>
  <c r="O315" i="17" s="1"/>
  <c r="O279" i="18"/>
  <c r="O629" i="19"/>
  <c r="P23" i="19"/>
  <c r="M20" i="19"/>
  <c r="M21" i="19"/>
  <c r="P21" i="19" s="1"/>
  <c r="M13" i="19"/>
  <c r="M53" i="19"/>
  <c r="I64" i="19"/>
  <c r="K64" i="19" s="1"/>
  <c r="K76" i="19"/>
  <c r="L181" i="19"/>
  <c r="O181" i="19" s="1"/>
  <c r="L20" i="19"/>
  <c r="O23" i="19"/>
  <c r="L13" i="19"/>
  <c r="O68" i="15"/>
  <c r="L786" i="17"/>
  <c r="O786" i="17" s="1"/>
  <c r="M315" i="18"/>
  <c r="P315" i="18" s="1"/>
  <c r="O21" i="18"/>
  <c r="M298" i="18"/>
  <c r="P298" i="18" s="1"/>
  <c r="N261" i="18"/>
  <c r="P261" i="18" s="1"/>
  <c r="P21" i="18"/>
  <c r="P331" i="16"/>
  <c r="O135" i="17"/>
  <c r="M389" i="18"/>
  <c r="P389" i="18" s="1"/>
  <c r="P391" i="18"/>
  <c r="P66" i="14"/>
  <c r="P88" i="15"/>
  <c r="N21" i="15"/>
  <c r="P328" i="15"/>
  <c r="O658" i="16"/>
  <c r="K434" i="16"/>
  <c r="K364" i="16"/>
  <c r="L227" i="16"/>
  <c r="M119" i="17"/>
  <c r="P119" i="17" s="1"/>
  <c r="O33" i="17"/>
  <c r="O328" i="17"/>
  <c r="L30" i="17"/>
  <c r="P330" i="18"/>
  <c r="K288" i="18"/>
  <c r="P181" i="18"/>
  <c r="P53" i="18"/>
  <c r="P167" i="18"/>
  <c r="P55" i="18"/>
  <c r="P330" i="15"/>
  <c r="O421" i="16"/>
  <c r="N13" i="16"/>
  <c r="N11" i="16" s="1"/>
  <c r="O300" i="15"/>
  <c r="O183" i="16"/>
  <c r="M298" i="17"/>
  <c r="P298" i="17" s="1"/>
  <c r="O69" i="17"/>
  <c r="K275" i="18"/>
  <c r="O151" i="18"/>
  <c r="L149" i="18"/>
  <c r="O149" i="18" s="1"/>
  <c r="L544" i="9"/>
  <c r="O544" i="9" s="1"/>
  <c r="L389" i="17"/>
  <c r="O389" i="17" s="1"/>
  <c r="L389" i="18"/>
  <c r="O389" i="18" s="1"/>
  <c r="P125" i="18"/>
  <c r="P56" i="18"/>
  <c r="O33" i="18"/>
  <c r="L30" i="18"/>
  <c r="L31" i="18"/>
  <c r="O31" i="18" s="1"/>
  <c r="K417" i="6"/>
  <c r="P165" i="13"/>
  <c r="L402" i="16"/>
  <c r="O402" i="16" s="1"/>
  <c r="L629" i="16"/>
  <c r="O629" i="16" s="1"/>
  <c r="P300" i="16"/>
  <c r="L298" i="17"/>
  <c r="O298" i="17" s="1"/>
  <c r="O23" i="17"/>
  <c r="P56" i="17"/>
  <c r="N24" i="17"/>
  <c r="P24" i="17" s="1"/>
  <c r="N277" i="18"/>
  <c r="O277" i="18" s="1"/>
  <c r="M20" i="18"/>
  <c r="M13" i="18"/>
  <c r="M11" i="18" s="1"/>
  <c r="O55" i="18"/>
  <c r="K434" i="18"/>
  <c r="I418" i="18"/>
  <c r="K418" i="18" s="1"/>
  <c r="I64" i="18"/>
  <c r="K64" i="18" s="1"/>
  <c r="K76" i="18"/>
  <c r="O66" i="14"/>
  <c r="O300" i="16"/>
  <c r="L402" i="17"/>
  <c r="O402" i="17" s="1"/>
  <c r="P23" i="18"/>
  <c r="L24" i="18"/>
  <c r="L16" i="18"/>
  <c r="L14" i="18" s="1"/>
  <c r="O183" i="15"/>
  <c r="M315" i="17"/>
  <c r="P315" i="17" s="1"/>
  <c r="L227" i="18"/>
  <c r="O238" i="18"/>
  <c r="I164" i="18"/>
  <c r="K164" i="18" s="1"/>
  <c r="K174" i="18"/>
  <c r="O657" i="17"/>
  <c r="L655" i="17"/>
  <c r="O655" i="17" s="1"/>
  <c r="O68" i="18"/>
  <c r="N66" i="18"/>
  <c r="P66" i="18" s="1"/>
  <c r="N20" i="18"/>
  <c r="N18" i="18" s="1"/>
  <c r="N13" i="18"/>
  <c r="N11" i="18" s="1"/>
  <c r="N119" i="18"/>
  <c r="N16" i="18"/>
  <c r="O26" i="18"/>
  <c r="P88" i="18"/>
  <c r="N24" i="18"/>
  <c r="N88" i="17"/>
  <c r="P88" i="17" s="1"/>
  <c r="O300" i="18"/>
  <c r="L298" i="18"/>
  <c r="O298" i="18" s="1"/>
  <c r="P44" i="18"/>
  <c r="O44" i="18"/>
  <c r="P90" i="18"/>
  <c r="O90" i="18"/>
  <c r="O121" i="18"/>
  <c r="O23" i="18"/>
  <c r="L20" i="18"/>
  <c r="L18" i="18" s="1"/>
  <c r="L13" i="18"/>
  <c r="L11" i="18" s="1"/>
  <c r="O347" i="13"/>
  <c r="L629" i="18"/>
  <c r="O629" i="18" s="1"/>
  <c r="O631" i="18"/>
  <c r="L444" i="18"/>
  <c r="O444" i="18" s="1"/>
  <c r="O446" i="18"/>
  <c r="O317" i="18"/>
  <c r="L315" i="18"/>
  <c r="O315" i="18" s="1"/>
  <c r="L165" i="18"/>
  <c r="O165" i="18" s="1"/>
  <c r="O167" i="18"/>
  <c r="P347" i="18"/>
  <c r="N345" i="18"/>
  <c r="P345" i="18" s="1"/>
  <c r="P15" i="18"/>
  <c r="M9" i="18"/>
  <c r="O69" i="18"/>
  <c r="P69" i="18"/>
  <c r="K237" i="18"/>
  <c r="I226" i="18"/>
  <c r="L53" i="18"/>
  <c r="P544" i="18"/>
  <c r="M414" i="18"/>
  <c r="P414" i="18" s="1"/>
  <c r="O546" i="18"/>
  <c r="L544" i="18"/>
  <c r="O544" i="18" s="1"/>
  <c r="L419" i="18"/>
  <c r="O421" i="18"/>
  <c r="L328" i="18"/>
  <c r="O330" i="18"/>
  <c r="P331" i="18"/>
  <c r="P26" i="18"/>
  <c r="M16" i="18"/>
  <c r="M24" i="18"/>
  <c r="K77" i="18"/>
  <c r="I65" i="18"/>
  <c r="K65" i="18" s="1"/>
  <c r="N9" i="18"/>
  <c r="P279" i="18"/>
  <c r="O183" i="8"/>
  <c r="O68" i="9"/>
  <c r="N328" i="18"/>
  <c r="P328" i="18" s="1"/>
  <c r="N41" i="18"/>
  <c r="P43" i="18"/>
  <c r="O43" i="18"/>
  <c r="O12" i="18"/>
  <c r="L9" i="18"/>
  <c r="L132" i="18"/>
  <c r="O132" i="18" s="1"/>
  <c r="M28" i="18"/>
  <c r="P28" i="18" s="1"/>
  <c r="P29" i="18"/>
  <c r="L467" i="18"/>
  <c r="O467" i="18" s="1"/>
  <c r="P351" i="18"/>
  <c r="O19" i="18"/>
  <c r="O263" i="18"/>
  <c r="K143" i="17"/>
  <c r="I164" i="17"/>
  <c r="K164" i="17" s="1"/>
  <c r="O330" i="17"/>
  <c r="P167" i="16"/>
  <c r="M402" i="17"/>
  <c r="P402" i="17" s="1"/>
  <c r="M261" i="16"/>
  <c r="P261" i="16" s="1"/>
  <c r="O261" i="15"/>
  <c r="P121" i="16"/>
  <c r="M261" i="17"/>
  <c r="P261" i="17" s="1"/>
  <c r="N277" i="17"/>
  <c r="P277" i="17" s="1"/>
  <c r="O68" i="17"/>
  <c r="P181" i="15"/>
  <c r="P183" i="15"/>
  <c r="P280" i="17"/>
  <c r="P279" i="15"/>
  <c r="P347" i="15"/>
  <c r="L13" i="15"/>
  <c r="L11" i="15" s="1"/>
  <c r="O11" i="15" s="1"/>
  <c r="L261" i="16"/>
  <c r="O261" i="16" s="1"/>
  <c r="P280" i="16"/>
  <c r="M165" i="16"/>
  <c r="P165" i="16" s="1"/>
  <c r="M149" i="17"/>
  <c r="P149" i="17" s="1"/>
  <c r="L227" i="17"/>
  <c r="M53" i="17"/>
  <c r="P53" i="17" s="1"/>
  <c r="P167" i="17"/>
  <c r="M165" i="17"/>
  <c r="P165" i="17" s="1"/>
  <c r="O263" i="15"/>
  <c r="P23" i="15"/>
  <c r="P134" i="15"/>
  <c r="O134" i="15"/>
  <c r="K434" i="13"/>
  <c r="L786" i="14"/>
  <c r="O786" i="14" s="1"/>
  <c r="L444" i="14"/>
  <c r="O444" i="14" s="1"/>
  <c r="M21" i="15"/>
  <c r="L132" i="15"/>
  <c r="O132" i="15" s="1"/>
  <c r="L629" i="15"/>
  <c r="O629" i="15" s="1"/>
  <c r="P43" i="15"/>
  <c r="O298" i="16"/>
  <c r="L345" i="16"/>
  <c r="O345" i="16" s="1"/>
  <c r="L30" i="16"/>
  <c r="O30" i="16" s="1"/>
  <c r="O53" i="16"/>
  <c r="O15" i="17"/>
  <c r="P12" i="17"/>
  <c r="M9" i="17"/>
  <c r="O90" i="17"/>
  <c r="L88" i="17"/>
  <c r="L685" i="17"/>
  <c r="O685" i="17" s="1"/>
  <c r="O279" i="17"/>
  <c r="L119" i="17"/>
  <c r="O119" i="17" s="1"/>
  <c r="K785" i="6"/>
  <c r="P21" i="14"/>
  <c r="O183" i="14"/>
  <c r="O41" i="14"/>
  <c r="N13" i="14"/>
  <c r="N10" i="14" s="1"/>
  <c r="N8" i="14" s="1"/>
  <c r="P91" i="15"/>
  <c r="M132" i="15"/>
  <c r="P132" i="15" s="1"/>
  <c r="L21" i="15"/>
  <c r="L20" i="15"/>
  <c r="L18" i="15" s="1"/>
  <c r="P330" i="16"/>
  <c r="O33" i="16"/>
  <c r="O631" i="17"/>
  <c r="L629" i="17"/>
  <c r="O629" i="17" s="1"/>
  <c r="P351" i="17"/>
  <c r="O351" i="17"/>
  <c r="P331" i="17"/>
  <c r="O331" i="17"/>
  <c r="L523" i="17"/>
  <c r="O523" i="17" s="1"/>
  <c r="K248" i="17"/>
  <c r="I226" i="17"/>
  <c r="N467" i="17"/>
  <c r="N414" i="17" s="1"/>
  <c r="O317" i="16"/>
  <c r="L315" i="16"/>
  <c r="O315" i="16" s="1"/>
  <c r="O23" i="15"/>
  <c r="P545" i="17"/>
  <c r="M544" i="17"/>
  <c r="P544" i="17" s="1"/>
  <c r="O446" i="17"/>
  <c r="L444" i="17"/>
  <c r="O444" i="17" s="1"/>
  <c r="O263" i="17"/>
  <c r="L261" i="17"/>
  <c r="O261" i="17" s="1"/>
  <c r="K433" i="17"/>
  <c r="M132" i="17"/>
  <c r="P132" i="17" s="1"/>
  <c r="L544" i="17"/>
  <c r="O544" i="17" s="1"/>
  <c r="P29" i="17"/>
  <c r="M28" i="17"/>
  <c r="P28" i="17" s="1"/>
  <c r="M414" i="17"/>
  <c r="P414" i="17" s="1"/>
  <c r="P419" i="17"/>
  <c r="O421" i="17"/>
  <c r="L419" i="17"/>
  <c r="P68" i="17"/>
  <c r="M66" i="17"/>
  <c r="P66" i="17" s="1"/>
  <c r="O121" i="5"/>
  <c r="K559" i="12"/>
  <c r="P151" i="12"/>
  <c r="O90" i="14"/>
  <c r="P90" i="15"/>
  <c r="O88" i="15"/>
  <c r="I418" i="17"/>
  <c r="K418" i="17" s="1"/>
  <c r="K434" i="17"/>
  <c r="M16" i="17"/>
  <c r="P16" i="17" s="1"/>
  <c r="P26" i="17"/>
  <c r="L16" i="17"/>
  <c r="O16" i="17" s="1"/>
  <c r="L24" i="17"/>
  <c r="O26" i="17"/>
  <c r="O347" i="17"/>
  <c r="P347" i="17"/>
  <c r="N345" i="17"/>
  <c r="O345" i="17" s="1"/>
  <c r="P19" i="17"/>
  <c r="K364" i="17"/>
  <c r="O183" i="17"/>
  <c r="L181" i="17"/>
  <c r="N20" i="17"/>
  <c r="N18" i="17" s="1"/>
  <c r="N13" i="17"/>
  <c r="N10" i="17" s="1"/>
  <c r="N21" i="17"/>
  <c r="O21" i="17" s="1"/>
  <c r="K76" i="17"/>
  <c r="I64" i="17"/>
  <c r="K64" i="17" s="1"/>
  <c r="N181" i="17"/>
  <c r="P181" i="17" s="1"/>
  <c r="M20" i="17"/>
  <c r="M13" i="17"/>
  <c r="P23" i="17"/>
  <c r="M21" i="17"/>
  <c r="O151" i="17"/>
  <c r="L149" i="17"/>
  <c r="O149" i="17" s="1"/>
  <c r="N9" i="17"/>
  <c r="P348" i="17"/>
  <c r="O348" i="17"/>
  <c r="P43" i="17"/>
  <c r="O12" i="17"/>
  <c r="L9" i="17"/>
  <c r="P15" i="17"/>
  <c r="N41" i="17"/>
  <c r="O328" i="15"/>
  <c r="O26" i="15"/>
  <c r="O348" i="15"/>
  <c r="O26" i="16"/>
  <c r="L34" i="16"/>
  <c r="O34" i="16" s="1"/>
  <c r="O165" i="16"/>
  <c r="O184" i="16"/>
  <c r="M132" i="14"/>
  <c r="P132" i="14" s="1"/>
  <c r="O165" i="10"/>
  <c r="L88" i="16"/>
  <c r="O88" i="16" s="1"/>
  <c r="L16" i="16"/>
  <c r="O16" i="16" s="1"/>
  <c r="L315" i="12"/>
  <c r="O315" i="12" s="1"/>
  <c r="M402" i="13"/>
  <c r="P402" i="13" s="1"/>
  <c r="P167" i="14"/>
  <c r="P55" i="13"/>
  <c r="L544" i="15"/>
  <c r="O544" i="15" s="1"/>
  <c r="L24" i="15"/>
  <c r="O43" i="16"/>
  <c r="L444" i="16"/>
  <c r="O444" i="16" s="1"/>
  <c r="M402" i="12"/>
  <c r="P402" i="12" s="1"/>
  <c r="O165" i="14"/>
  <c r="O90" i="15"/>
  <c r="O277" i="6"/>
  <c r="P68" i="9"/>
  <c r="P279" i="12"/>
  <c r="P151" i="13"/>
  <c r="O279" i="14"/>
  <c r="K364" i="14"/>
  <c r="O55" i="15"/>
  <c r="O135" i="15"/>
  <c r="L298" i="15"/>
  <c r="O298" i="15" s="1"/>
  <c r="P301" i="15"/>
  <c r="P152" i="15"/>
  <c r="M389" i="15"/>
  <c r="P389" i="15" s="1"/>
  <c r="L277" i="16"/>
  <c r="O277" i="16" s="1"/>
  <c r="L149" i="16"/>
  <c r="O149" i="16" s="1"/>
  <c r="N41" i="16"/>
  <c r="O41" i="16" s="1"/>
  <c r="N24" i="16"/>
  <c r="O24" i="16" s="1"/>
  <c r="L181" i="16"/>
  <c r="O181" i="16" s="1"/>
  <c r="P53" i="16"/>
  <c r="K433" i="16"/>
  <c r="I417" i="16"/>
  <c r="K417" i="16" s="1"/>
  <c r="O167" i="10"/>
  <c r="P300" i="11"/>
  <c r="O121" i="11"/>
  <c r="O263" i="14"/>
  <c r="O181" i="15"/>
  <c r="L119" i="15"/>
  <c r="O119" i="15" s="1"/>
  <c r="K275" i="16"/>
  <c r="M132" i="16"/>
  <c r="P132" i="16" s="1"/>
  <c r="P43" i="16"/>
  <c r="O55" i="16"/>
  <c r="O167" i="16"/>
  <c r="N20" i="16"/>
  <c r="N18" i="16" s="1"/>
  <c r="O298" i="11"/>
  <c r="O66" i="15"/>
  <c r="P44" i="16"/>
  <c r="O31" i="16"/>
  <c r="P183" i="7"/>
  <c r="O279" i="15"/>
  <c r="L389" i="16"/>
  <c r="O389" i="16" s="1"/>
  <c r="O391" i="16"/>
  <c r="P55" i="16"/>
  <c r="K76" i="13"/>
  <c r="O55" i="14"/>
  <c r="M315" i="15"/>
  <c r="P315" i="15" s="1"/>
  <c r="N277" i="15"/>
  <c r="O277" i="15" s="1"/>
  <c r="L119" i="16"/>
  <c r="O119" i="16" s="1"/>
  <c r="O469" i="16"/>
  <c r="L467" i="16"/>
  <c r="O467" i="16" s="1"/>
  <c r="O33" i="12"/>
  <c r="O687" i="16"/>
  <c r="K288" i="16"/>
  <c r="N419" i="16"/>
  <c r="P15" i="16"/>
  <c r="M28" i="16"/>
  <c r="P28" i="16" s="1"/>
  <c r="P29" i="16"/>
  <c r="M66" i="16"/>
  <c r="P66" i="16" s="1"/>
  <c r="P347" i="16"/>
  <c r="M345" i="16"/>
  <c r="P345" i="16" s="1"/>
  <c r="O525" i="16"/>
  <c r="L523" i="16"/>
  <c r="I226" i="16"/>
  <c r="K248" i="16"/>
  <c r="P26" i="16"/>
  <c r="M16" i="16"/>
  <c r="P16" i="16" s="1"/>
  <c r="P121" i="14"/>
  <c r="P502" i="16"/>
  <c r="I131" i="16"/>
  <c r="K131" i="16" s="1"/>
  <c r="K143" i="16"/>
  <c r="O15" i="16"/>
  <c r="L9" i="16"/>
  <c r="M13" i="16"/>
  <c r="M21" i="16"/>
  <c r="P21" i="16" s="1"/>
  <c r="M20" i="16"/>
  <c r="P23" i="16"/>
  <c r="O788" i="16"/>
  <c r="N786" i="16"/>
  <c r="O786" i="16" s="1"/>
  <c r="O328" i="16"/>
  <c r="M389" i="16"/>
  <c r="P389" i="16" s="1"/>
  <c r="K592" i="16"/>
  <c r="P328" i="16"/>
  <c r="K76" i="16"/>
  <c r="I64" i="16"/>
  <c r="K64" i="16" s="1"/>
  <c r="N9" i="16"/>
  <c r="M41" i="16"/>
  <c r="L419" i="14"/>
  <c r="O419" i="14" s="1"/>
  <c r="P317" i="16"/>
  <c r="M315" i="16"/>
  <c r="P315" i="16" s="1"/>
  <c r="L132" i="16"/>
  <c r="O132" i="16" s="1"/>
  <c r="O134" i="16"/>
  <c r="P183" i="16"/>
  <c r="M181" i="16"/>
  <c r="P181" i="16" s="1"/>
  <c r="O19" i="16"/>
  <c r="L13" i="16"/>
  <c r="L20" i="16"/>
  <c r="L18" i="16" s="1"/>
  <c r="O23" i="16"/>
  <c r="L21" i="16"/>
  <c r="O21" i="16" s="1"/>
  <c r="M88" i="16"/>
  <c r="P88" i="16" s="1"/>
  <c r="P90" i="16"/>
  <c r="P55" i="14"/>
  <c r="P300" i="14"/>
  <c r="P545" i="16"/>
  <c r="M544" i="16"/>
  <c r="P544" i="16" s="1"/>
  <c r="K593" i="16"/>
  <c r="M9" i="16"/>
  <c r="O29" i="16"/>
  <c r="O347" i="12"/>
  <c r="K275" i="14"/>
  <c r="L419" i="15"/>
  <c r="O419" i="15" s="1"/>
  <c r="L165" i="15"/>
  <c r="O165" i="15" s="1"/>
  <c r="K288" i="15"/>
  <c r="P56" i="15"/>
  <c r="M41" i="15"/>
  <c r="P41" i="15" s="1"/>
  <c r="O43" i="15"/>
  <c r="M402" i="14"/>
  <c r="P402" i="14" s="1"/>
  <c r="O55" i="13"/>
  <c r="P263" i="14"/>
  <c r="N20" i="14"/>
  <c r="N18" i="14" s="1"/>
  <c r="L149" i="15"/>
  <c r="O149" i="15" s="1"/>
  <c r="P68" i="14"/>
  <c r="M119" i="8"/>
  <c r="P119" i="8" s="1"/>
  <c r="O68" i="14"/>
  <c r="N24" i="14"/>
  <c r="L444" i="15"/>
  <c r="O444" i="15" s="1"/>
  <c r="P151" i="15"/>
  <c r="M149" i="15"/>
  <c r="P149" i="15" s="1"/>
  <c r="L132" i="14"/>
  <c r="O132" i="14" s="1"/>
  <c r="O347" i="14"/>
  <c r="O300" i="14"/>
  <c r="L227" i="15"/>
  <c r="O300" i="6"/>
  <c r="I64" i="11"/>
  <c r="K64" i="11" s="1"/>
  <c r="I226" i="13"/>
  <c r="K226" i="13" s="1"/>
  <c r="P11" i="15"/>
  <c r="M66" i="13"/>
  <c r="P66" i="13" s="1"/>
  <c r="O167" i="13"/>
  <c r="L298" i="14"/>
  <c r="L13" i="14"/>
  <c r="L11" i="14" s="1"/>
  <c r="P545" i="15"/>
  <c r="M544" i="15"/>
  <c r="K434" i="15"/>
  <c r="I418" i="15"/>
  <c r="K418" i="15" s="1"/>
  <c r="O317" i="15"/>
  <c r="L315" i="15"/>
  <c r="O315" i="15" s="1"/>
  <c r="I164" i="15"/>
  <c r="K164" i="15" s="1"/>
  <c r="K174" i="15"/>
  <c r="O15" i="15"/>
  <c r="O315" i="6"/>
  <c r="O132" i="13"/>
  <c r="L419" i="13"/>
  <c r="O419" i="13" s="1"/>
  <c r="O330" i="14"/>
  <c r="O36" i="14"/>
  <c r="L119" i="14"/>
  <c r="O119" i="14" s="1"/>
  <c r="O167" i="14"/>
  <c r="O687" i="15"/>
  <c r="I226" i="15"/>
  <c r="K237" i="15"/>
  <c r="I64" i="15"/>
  <c r="K64" i="15" s="1"/>
  <c r="K76" i="15"/>
  <c r="O280" i="15"/>
  <c r="L467" i="15"/>
  <c r="O467" i="15" s="1"/>
  <c r="O469" i="15"/>
  <c r="N16" i="15"/>
  <c r="N14" i="15" s="1"/>
  <c r="N20" i="15"/>
  <c r="N18" i="15" s="1"/>
  <c r="L30" i="15"/>
  <c r="L28" i="15" s="1"/>
  <c r="P165" i="11"/>
  <c r="P277" i="12"/>
  <c r="J417" i="15"/>
  <c r="K417" i="15" s="1"/>
  <c r="K433" i="15"/>
  <c r="M298" i="15"/>
  <c r="P298" i="15" s="1"/>
  <c r="P300" i="15"/>
  <c r="O41" i="15"/>
  <c r="M16" i="15"/>
  <c r="M10" i="15" s="1"/>
  <c r="P26" i="15"/>
  <c r="M24" i="15"/>
  <c r="M66" i="15"/>
  <c r="P66" i="15" s="1"/>
  <c r="P68" i="15"/>
  <c r="L16" i="15"/>
  <c r="L14" i="15" s="1"/>
  <c r="M261" i="15"/>
  <c r="P261" i="15" s="1"/>
  <c r="P263" i="15"/>
  <c r="M28" i="15"/>
  <c r="P28" i="15" s="1"/>
  <c r="P29" i="15"/>
  <c r="L402" i="9"/>
  <c r="O402" i="9" s="1"/>
  <c r="O330" i="10"/>
  <c r="L66" i="13"/>
  <c r="O66" i="13" s="1"/>
  <c r="P56" i="13"/>
  <c r="O351" i="13"/>
  <c r="I65" i="15"/>
  <c r="K65" i="15" s="1"/>
  <c r="K77" i="15"/>
  <c r="P55" i="15"/>
  <c r="L389" i="15"/>
  <c r="O389" i="15" s="1"/>
  <c r="M119" i="15"/>
  <c r="P119" i="15" s="1"/>
  <c r="P121" i="15"/>
  <c r="L34" i="15"/>
  <c r="O34" i="15" s="1"/>
  <c r="N24" i="15"/>
  <c r="P90" i="10"/>
  <c r="P328" i="13"/>
  <c r="P165" i="14"/>
  <c r="L30" i="14"/>
  <c r="O30" i="14" s="1"/>
  <c r="L315" i="14"/>
  <c r="O315" i="14" s="1"/>
  <c r="O788" i="15"/>
  <c r="N786" i="15"/>
  <c r="O786" i="15" s="1"/>
  <c r="L523" i="15"/>
  <c r="O523" i="15" s="1"/>
  <c r="L9" i="15"/>
  <c r="O12" i="15"/>
  <c r="N53" i="15"/>
  <c r="P53" i="15" s="1"/>
  <c r="O29" i="15"/>
  <c r="P9" i="15"/>
  <c r="P13" i="15"/>
  <c r="L685" i="14"/>
  <c r="O685" i="14" s="1"/>
  <c r="L345" i="15"/>
  <c r="O345" i="15" s="1"/>
  <c r="O347" i="15"/>
  <c r="O19" i="15"/>
  <c r="O31" i="15"/>
  <c r="M20" i="15"/>
  <c r="N30" i="15"/>
  <c r="N28" i="15" s="1"/>
  <c r="O33" i="15"/>
  <c r="I131" i="15"/>
  <c r="K131" i="15" s="1"/>
  <c r="K143" i="15"/>
  <c r="P263" i="10"/>
  <c r="M119" i="10"/>
  <c r="P119" i="10" s="1"/>
  <c r="P135" i="11"/>
  <c r="M149" i="12"/>
  <c r="P149" i="12" s="1"/>
  <c r="L523" i="13"/>
  <c r="O523" i="13" s="1"/>
  <c r="L20" i="14"/>
  <c r="L31" i="14"/>
  <c r="O31" i="14" s="1"/>
  <c r="O90" i="13"/>
  <c r="N53" i="14"/>
  <c r="O53" i="14" s="1"/>
  <c r="M24" i="14"/>
  <c r="L21" i="14"/>
  <c r="O21" i="14" s="1"/>
  <c r="P279" i="14"/>
  <c r="O347" i="10"/>
  <c r="L467" i="13"/>
  <c r="O467" i="13" s="1"/>
  <c r="K785" i="13"/>
  <c r="M261" i="14"/>
  <c r="P261" i="14" s="1"/>
  <c r="P16" i="14"/>
  <c r="M14" i="14"/>
  <c r="P14" i="14" s="1"/>
  <c r="O151" i="8"/>
  <c r="P26" i="14"/>
  <c r="P317" i="6"/>
  <c r="P165" i="10"/>
  <c r="L345" i="14"/>
  <c r="O345" i="14" s="1"/>
  <c r="P43" i="14"/>
  <c r="L88" i="14"/>
  <c r="O88" i="14" s="1"/>
  <c r="L786" i="5"/>
  <c r="O786" i="5" s="1"/>
  <c r="P167" i="12"/>
  <c r="O23" i="14"/>
  <c r="P152" i="12"/>
  <c r="L444" i="13"/>
  <c r="O444" i="13" s="1"/>
  <c r="O43" i="14"/>
  <c r="M277" i="14"/>
  <c r="P277" i="14" s="1"/>
  <c r="O404" i="14"/>
  <c r="L402" i="14"/>
  <c r="O402" i="14" s="1"/>
  <c r="M88" i="14"/>
  <c r="P88" i="14" s="1"/>
  <c r="P90" i="14"/>
  <c r="L655" i="14"/>
  <c r="O655" i="14" s="1"/>
  <c r="O9" i="14"/>
  <c r="M389" i="14"/>
  <c r="P389" i="14" s="1"/>
  <c r="P391" i="14"/>
  <c r="L298" i="7"/>
  <c r="O298" i="7" s="1"/>
  <c r="O546" i="11"/>
  <c r="O66" i="12"/>
  <c r="L227" i="13"/>
  <c r="O26" i="14"/>
  <c r="L16" i="14"/>
  <c r="O16" i="14" s="1"/>
  <c r="P41" i="14"/>
  <c r="J417" i="14"/>
  <c r="K417" i="14" s="1"/>
  <c r="K433" i="14"/>
  <c r="P19" i="14"/>
  <c r="P55" i="7"/>
  <c r="P68" i="12"/>
  <c r="L53" i="13"/>
  <c r="O53" i="13" s="1"/>
  <c r="L523" i="14"/>
  <c r="O523" i="14" s="1"/>
  <c r="I418" i="14"/>
  <c r="K418" i="14" s="1"/>
  <c r="K434" i="14"/>
  <c r="K76" i="14"/>
  <c r="I64" i="14"/>
  <c r="K64" i="14" s="1"/>
  <c r="P69" i="14"/>
  <c r="O69" i="14"/>
  <c r="P330" i="14"/>
  <c r="M328" i="14"/>
  <c r="P328" i="14" s="1"/>
  <c r="O29" i="14"/>
  <c r="M28" i="14"/>
  <c r="P28" i="14" s="1"/>
  <c r="P30" i="14"/>
  <c r="K288" i="14"/>
  <c r="L402" i="12"/>
  <c r="O402" i="12" s="1"/>
  <c r="K275" i="13"/>
  <c r="L31" i="13"/>
  <c r="O31" i="13" s="1"/>
  <c r="L544" i="14"/>
  <c r="O544" i="14" s="1"/>
  <c r="L328" i="14"/>
  <c r="O328" i="14" s="1"/>
  <c r="L277" i="14"/>
  <c r="O277" i="14" s="1"/>
  <c r="I65" i="14"/>
  <c r="K65" i="14" s="1"/>
  <c r="K77" i="14"/>
  <c r="O19" i="14"/>
  <c r="L24" i="14"/>
  <c r="O238" i="14"/>
  <c r="L227" i="14"/>
  <c r="P165" i="9"/>
  <c r="P90" i="11"/>
  <c r="L227" i="12"/>
  <c r="O152" i="12"/>
  <c r="O183" i="13"/>
  <c r="L345" i="13"/>
  <c r="O345" i="13" s="1"/>
  <c r="N24" i="13"/>
  <c r="K77" i="13"/>
  <c r="L119" i="13"/>
  <c r="O119" i="13" s="1"/>
  <c r="K364" i="13"/>
  <c r="P181" i="13"/>
  <c r="O631" i="14"/>
  <c r="L629" i="14"/>
  <c r="O629" i="14" s="1"/>
  <c r="L467" i="14"/>
  <c r="O467" i="14" s="1"/>
  <c r="O469" i="14"/>
  <c r="N298" i="14"/>
  <c r="P419" i="14"/>
  <c r="K248" i="14"/>
  <c r="I226" i="14"/>
  <c r="P23" i="14"/>
  <c r="M20" i="14"/>
  <c r="M13" i="14"/>
  <c r="M11" i="14" s="1"/>
  <c r="O261" i="14"/>
  <c r="P151" i="14"/>
  <c r="M149" i="14"/>
  <c r="P149" i="14" s="1"/>
  <c r="O15" i="14"/>
  <c r="K785" i="12"/>
  <c r="N149" i="13"/>
  <c r="N37" i="13" s="1"/>
  <c r="P167" i="13"/>
  <c r="P545" i="14"/>
  <c r="M544" i="14"/>
  <c r="P544" i="14" s="1"/>
  <c r="P347" i="14"/>
  <c r="M345" i="14"/>
  <c r="P345" i="14" s="1"/>
  <c r="L181" i="14"/>
  <c r="O181" i="14" s="1"/>
  <c r="K559" i="14"/>
  <c r="I543" i="14"/>
  <c r="K543" i="14" s="1"/>
  <c r="M181" i="14"/>
  <c r="P181" i="14" s="1"/>
  <c r="P183" i="14"/>
  <c r="P12" i="14"/>
  <c r="M9" i="14"/>
  <c r="P347" i="12"/>
  <c r="O298" i="12"/>
  <c r="O134" i="12"/>
  <c r="P41" i="12"/>
  <c r="P88" i="13"/>
  <c r="O167" i="12"/>
  <c r="O238" i="13"/>
  <c r="P41" i="13"/>
  <c r="P90" i="13"/>
  <c r="O88" i="13"/>
  <c r="P43" i="13"/>
  <c r="O26" i="12"/>
  <c r="P345" i="10"/>
  <c r="K364" i="12"/>
  <c r="L315" i="13"/>
  <c r="O315" i="13" s="1"/>
  <c r="P183" i="13"/>
  <c r="P132" i="13"/>
  <c r="O391" i="13"/>
  <c r="L389" i="13"/>
  <c r="O389" i="13" s="1"/>
  <c r="L315" i="9"/>
  <c r="O315" i="9" s="1"/>
  <c r="P66" i="12"/>
  <c r="O44" i="13"/>
  <c r="O43" i="13"/>
  <c r="L165" i="13"/>
  <c r="O165" i="13" s="1"/>
  <c r="O631" i="10"/>
  <c r="O298" i="10"/>
  <c r="I65" i="10"/>
  <c r="K65" i="10" s="1"/>
  <c r="L402" i="11"/>
  <c r="O402" i="11" s="1"/>
  <c r="L685" i="11"/>
  <c r="O685" i="11" s="1"/>
  <c r="L13" i="12"/>
  <c r="O13" i="12" s="1"/>
  <c r="N21" i="12"/>
  <c r="O21" i="12" s="1"/>
  <c r="O279" i="11"/>
  <c r="P317" i="13"/>
  <c r="O277" i="13"/>
  <c r="P53" i="13"/>
  <c r="O151" i="13"/>
  <c r="L149" i="13"/>
  <c r="O149" i="13" s="1"/>
  <c r="O631" i="13"/>
  <c r="L629" i="13"/>
  <c r="O629" i="13" s="1"/>
  <c r="O134" i="13"/>
  <c r="P184" i="8"/>
  <c r="P91" i="9"/>
  <c r="M345" i="13"/>
  <c r="P345" i="13" s="1"/>
  <c r="O280" i="13"/>
  <c r="O279" i="13"/>
  <c r="P330" i="8"/>
  <c r="O43" i="12"/>
  <c r="P43" i="12"/>
  <c r="P277" i="13"/>
  <c r="P263" i="13"/>
  <c r="P279" i="13"/>
  <c r="P167" i="7"/>
  <c r="P121" i="9"/>
  <c r="P261" i="7"/>
  <c r="O121" i="9"/>
  <c r="M389" i="10"/>
  <c r="P389" i="10" s="1"/>
  <c r="O280" i="11"/>
  <c r="P91" i="11"/>
  <c r="I65" i="12"/>
  <c r="K65" i="12" s="1"/>
  <c r="P330" i="13"/>
  <c r="L34" i="13"/>
  <c r="O34" i="13" s="1"/>
  <c r="N14" i="13"/>
  <c r="L786" i="13"/>
  <c r="O786" i="13" s="1"/>
  <c r="O788" i="13"/>
  <c r="L30" i="13"/>
  <c r="K364" i="8"/>
  <c r="O300" i="10"/>
  <c r="O68" i="10"/>
  <c r="P167" i="10"/>
  <c r="K417" i="11"/>
  <c r="K364" i="11"/>
  <c r="O55" i="11"/>
  <c r="P55" i="11"/>
  <c r="L655" i="12"/>
  <c r="O655" i="12" s="1"/>
  <c r="P55" i="12"/>
  <c r="P300" i="12"/>
  <c r="L685" i="13"/>
  <c r="O685" i="13" s="1"/>
  <c r="L181" i="13"/>
  <c r="O181" i="13" s="1"/>
  <c r="P183" i="12"/>
  <c r="O264" i="13"/>
  <c r="L328" i="13"/>
  <c r="O328" i="13" s="1"/>
  <c r="O330" i="13"/>
  <c r="O331" i="13"/>
  <c r="P134" i="13"/>
  <c r="O279" i="3"/>
  <c r="O261" i="12"/>
  <c r="K143" i="12"/>
  <c r="O88" i="12"/>
  <c r="O19" i="13"/>
  <c r="M261" i="13"/>
  <c r="O263" i="13"/>
  <c r="L261" i="13"/>
  <c r="O261" i="13" s="1"/>
  <c r="P12" i="13"/>
  <c r="M9" i="13"/>
  <c r="P167" i="4"/>
  <c r="M544" i="13"/>
  <c r="P544" i="13" s="1"/>
  <c r="P545" i="13"/>
  <c r="O12" i="13"/>
  <c r="L9" i="13"/>
  <c r="P26" i="13"/>
  <c r="M16" i="13"/>
  <c r="M24" i="13"/>
  <c r="P19" i="13"/>
  <c r="P347" i="2"/>
  <c r="P419" i="13"/>
  <c r="K143" i="13"/>
  <c r="I131" i="13"/>
  <c r="K131" i="13" s="1"/>
  <c r="P23" i="13"/>
  <c r="M20" i="13"/>
  <c r="M13" i="13"/>
  <c r="M11" i="13" s="1"/>
  <c r="O328" i="12"/>
  <c r="L30" i="12"/>
  <c r="O30" i="12" s="1"/>
  <c r="M13" i="12"/>
  <c r="M11" i="12" s="1"/>
  <c r="P11" i="12" s="1"/>
  <c r="O546" i="13"/>
  <c r="L544" i="13"/>
  <c r="O544" i="13" s="1"/>
  <c r="L16" i="13"/>
  <c r="O26" i="13"/>
  <c r="O23" i="13"/>
  <c r="L20" i="13"/>
  <c r="L18" i="13" s="1"/>
  <c r="L13" i="13"/>
  <c r="L11" i="13" s="1"/>
  <c r="L21" i="13"/>
  <c r="O300" i="13"/>
  <c r="L298" i="13"/>
  <c r="O298" i="13" s="1"/>
  <c r="L24" i="13"/>
  <c r="I65" i="11"/>
  <c r="K65" i="11" s="1"/>
  <c r="P261" i="12"/>
  <c r="P23" i="12"/>
  <c r="M119" i="12"/>
  <c r="P119" i="12" s="1"/>
  <c r="K433" i="13"/>
  <c r="I417" i="13"/>
  <c r="K417" i="13" s="1"/>
  <c r="K559" i="13"/>
  <c r="I543" i="13"/>
  <c r="K543" i="13" s="1"/>
  <c r="P391" i="13"/>
  <c r="M389" i="13"/>
  <c r="P389" i="13" s="1"/>
  <c r="M298" i="13"/>
  <c r="P298" i="13" s="1"/>
  <c r="O300" i="11"/>
  <c r="O91" i="11"/>
  <c r="O300" i="12"/>
  <c r="O41" i="13"/>
  <c r="N20" i="13"/>
  <c r="N18" i="13" s="1"/>
  <c r="N13" i="13"/>
  <c r="N21" i="13"/>
  <c r="M21" i="13"/>
  <c r="K288" i="13"/>
  <c r="N9" i="13"/>
  <c r="N88" i="11"/>
  <c r="P88" i="11" s="1"/>
  <c r="O168" i="12"/>
  <c r="P317" i="12"/>
  <c r="M315" i="12"/>
  <c r="P315" i="12" s="1"/>
  <c r="P351" i="11"/>
  <c r="P263" i="12"/>
  <c r="O263" i="12"/>
  <c r="O23" i="12"/>
  <c r="O330" i="12"/>
  <c r="K76" i="12"/>
  <c r="M298" i="11"/>
  <c r="P298" i="11" s="1"/>
  <c r="M298" i="12"/>
  <c r="P298" i="12" s="1"/>
  <c r="O68" i="12"/>
  <c r="O90" i="12"/>
  <c r="O279" i="10"/>
  <c r="O167" i="9"/>
  <c r="K364" i="9"/>
  <c r="L16" i="12"/>
  <c r="L14" i="12" s="1"/>
  <c r="L24" i="12"/>
  <c r="L13" i="8"/>
  <c r="L11" i="8" s="1"/>
  <c r="L298" i="9"/>
  <c r="O298" i="9" s="1"/>
  <c r="P301" i="11"/>
  <c r="K434" i="12"/>
  <c r="P184" i="12"/>
  <c r="L34" i="12"/>
  <c r="O34" i="12" s="1"/>
  <c r="M20" i="12"/>
  <c r="M18" i="12" s="1"/>
  <c r="K288" i="12"/>
  <c r="J275" i="12"/>
  <c r="K275" i="12" s="1"/>
  <c r="N24" i="12"/>
  <c r="O55" i="12"/>
  <c r="L523" i="10"/>
  <c r="O523" i="10" s="1"/>
  <c r="L149" i="10"/>
  <c r="O149" i="10" s="1"/>
  <c r="P263" i="11"/>
  <c r="L132" i="11"/>
  <c r="O132" i="11" s="1"/>
  <c r="P43" i="11"/>
  <c r="O90" i="11"/>
  <c r="P165" i="12"/>
  <c r="N345" i="12"/>
  <c r="O345" i="12" s="1"/>
  <c r="P181" i="12"/>
  <c r="K237" i="12"/>
  <c r="L20" i="12"/>
  <c r="L18" i="12" s="1"/>
  <c r="K417" i="8"/>
  <c r="P348" i="9"/>
  <c r="L629" i="11"/>
  <c r="O629" i="11" s="1"/>
  <c r="L13" i="11"/>
  <c r="L11" i="11" s="1"/>
  <c r="L523" i="12"/>
  <c r="O523" i="12" s="1"/>
  <c r="M389" i="12"/>
  <c r="P389" i="12" s="1"/>
  <c r="O121" i="12"/>
  <c r="L119" i="12"/>
  <c r="O119" i="12" s="1"/>
  <c r="K433" i="12"/>
  <c r="I417" i="12"/>
  <c r="K417" i="12" s="1"/>
  <c r="O631" i="3"/>
  <c r="M132" i="4"/>
  <c r="P132" i="4" s="1"/>
  <c r="O629" i="7"/>
  <c r="P183" i="8"/>
  <c r="M261" i="10"/>
  <c r="P261" i="10" s="1"/>
  <c r="O330" i="11"/>
  <c r="L30" i="11"/>
  <c r="L28" i="11" s="1"/>
  <c r="L629" i="12"/>
  <c r="O629" i="12" s="1"/>
  <c r="O631" i="12"/>
  <c r="O546" i="12"/>
  <c r="L544" i="12"/>
  <c r="O544" i="12" s="1"/>
  <c r="L389" i="12"/>
  <c r="O389" i="12" s="1"/>
  <c r="O421" i="12"/>
  <c r="L419" i="12"/>
  <c r="O165" i="12"/>
  <c r="N53" i="12"/>
  <c r="P53" i="12" s="1"/>
  <c r="M315" i="6"/>
  <c r="P315" i="6" s="1"/>
  <c r="P168" i="9"/>
  <c r="K364" i="10"/>
  <c r="P301" i="10"/>
  <c r="O184" i="10"/>
  <c r="O43" i="10"/>
  <c r="O12" i="12"/>
  <c r="L9" i="12"/>
  <c r="M88" i="12"/>
  <c r="P90" i="12"/>
  <c r="P330" i="12"/>
  <c r="M328" i="12"/>
  <c r="P328" i="12" s="1"/>
  <c r="O263" i="3"/>
  <c r="M298" i="4"/>
  <c r="P298" i="4" s="1"/>
  <c r="O347" i="7"/>
  <c r="O347" i="8"/>
  <c r="O181" i="7"/>
  <c r="O69" i="9"/>
  <c r="L277" i="11"/>
  <c r="O277" i="11" s="1"/>
  <c r="N414" i="12"/>
  <c r="O19" i="12"/>
  <c r="M28" i="12"/>
  <c r="P28" i="12" s="1"/>
  <c r="P29" i="12"/>
  <c r="N20" i="12"/>
  <c r="N16" i="12"/>
  <c r="P19" i="12"/>
  <c r="O41" i="12"/>
  <c r="L165" i="9"/>
  <c r="O165" i="9" s="1"/>
  <c r="M13" i="9"/>
  <c r="M11" i="9" s="1"/>
  <c r="N53" i="11"/>
  <c r="O53" i="11" s="1"/>
  <c r="P23" i="11"/>
  <c r="O347" i="11"/>
  <c r="L685" i="12"/>
  <c r="O685" i="12" s="1"/>
  <c r="L444" i="12"/>
  <c r="O444" i="12" s="1"/>
  <c r="O446" i="12"/>
  <c r="M414" i="12"/>
  <c r="P414" i="12" s="1"/>
  <c r="P419" i="12"/>
  <c r="P26" i="12"/>
  <c r="M16" i="12"/>
  <c r="O183" i="12"/>
  <c r="L181" i="12"/>
  <c r="O181" i="12" s="1"/>
  <c r="K226" i="12"/>
  <c r="I180" i="12"/>
  <c r="K180" i="12" s="1"/>
  <c r="L66" i="7"/>
  <c r="O66" i="7" s="1"/>
  <c r="P300" i="8"/>
  <c r="M277" i="9"/>
  <c r="P277" i="9" s="1"/>
  <c r="P43" i="10"/>
  <c r="L34" i="11"/>
  <c r="O34" i="11" s="1"/>
  <c r="O183" i="11"/>
  <c r="L21" i="11"/>
  <c r="O469" i="12"/>
  <c r="L467" i="12"/>
  <c r="O467" i="12" s="1"/>
  <c r="P12" i="12"/>
  <c r="M9" i="12"/>
  <c r="L277" i="12"/>
  <c r="O277" i="12" s="1"/>
  <c r="O279" i="12"/>
  <c r="M132" i="12"/>
  <c r="P132" i="12" s="1"/>
  <c r="P134" i="12"/>
  <c r="L149" i="12"/>
  <c r="O149" i="12" s="1"/>
  <c r="N88" i="10"/>
  <c r="P88" i="10" s="1"/>
  <c r="L16" i="10"/>
  <c r="O16" i="10" s="1"/>
  <c r="L149" i="11"/>
  <c r="O149" i="11" s="1"/>
  <c r="O68" i="11"/>
  <c r="O263" i="9"/>
  <c r="O90" i="10"/>
  <c r="P183" i="11"/>
  <c r="P181" i="11"/>
  <c r="O263" i="7"/>
  <c r="L21" i="8"/>
  <c r="N261" i="9"/>
  <c r="O261" i="9" s="1"/>
  <c r="O446" i="10"/>
  <c r="L30" i="10"/>
  <c r="O30" i="10" s="1"/>
  <c r="L20" i="11"/>
  <c r="L18" i="11" s="1"/>
  <c r="O345" i="4"/>
  <c r="M315" i="7"/>
  <c r="P315" i="7" s="1"/>
  <c r="K785" i="7"/>
  <c r="O36" i="10"/>
  <c r="L444" i="11"/>
  <c r="O444" i="11" s="1"/>
  <c r="N345" i="11"/>
  <c r="O345" i="11" s="1"/>
  <c r="M13" i="11"/>
  <c r="M11" i="11" s="1"/>
  <c r="P317" i="11"/>
  <c r="M315" i="11"/>
  <c r="P315" i="11" s="1"/>
  <c r="O279" i="5"/>
  <c r="L16" i="8"/>
  <c r="L14" i="8" s="1"/>
  <c r="M315" i="9"/>
  <c r="P315" i="9" s="1"/>
  <c r="P134" i="11"/>
  <c r="M132" i="11"/>
  <c r="P132" i="11" s="1"/>
  <c r="K559" i="6"/>
  <c r="O168" i="7"/>
  <c r="O43" i="7"/>
  <c r="P279" i="7"/>
  <c r="P300" i="10"/>
  <c r="P167" i="11"/>
  <c r="L66" i="11"/>
  <c r="O55" i="6"/>
  <c r="M132" i="8"/>
  <c r="P132" i="8" s="1"/>
  <c r="O279" i="7"/>
  <c r="M149" i="9"/>
  <c r="P149" i="9" s="1"/>
  <c r="P279" i="10"/>
  <c r="M402" i="10"/>
  <c r="P402" i="10" s="1"/>
  <c r="P347" i="10"/>
  <c r="O317" i="11"/>
  <c r="M402" i="11"/>
  <c r="P402" i="11" s="1"/>
  <c r="K288" i="6"/>
  <c r="L261" i="7"/>
  <c r="O261" i="7" s="1"/>
  <c r="P134" i="10"/>
  <c r="L88" i="11"/>
  <c r="O348" i="7"/>
  <c r="O90" i="6"/>
  <c r="P23" i="9"/>
  <c r="L66" i="10"/>
  <c r="O66" i="10" s="1"/>
  <c r="L523" i="11"/>
  <c r="O523" i="11" s="1"/>
  <c r="N66" i="11"/>
  <c r="P66" i="11" s="1"/>
  <c r="O631" i="7"/>
  <c r="K433" i="8"/>
  <c r="O132" i="9"/>
  <c r="L24" i="10"/>
  <c r="L655" i="10"/>
  <c r="O655" i="10" s="1"/>
  <c r="M389" i="11"/>
  <c r="P389" i="11" s="1"/>
  <c r="O69" i="11"/>
  <c r="P69" i="11"/>
  <c r="O12" i="11"/>
  <c r="L9" i="11"/>
  <c r="N419" i="11"/>
  <c r="P15" i="11"/>
  <c r="N41" i="11"/>
  <c r="O41" i="11" s="1"/>
  <c r="O23" i="11"/>
  <c r="O165" i="7"/>
  <c r="K76" i="8"/>
  <c r="K275" i="6"/>
  <c r="O90" i="8"/>
  <c r="P43" i="9"/>
  <c r="O183" i="10"/>
  <c r="M149" i="10"/>
  <c r="P149" i="10" s="1"/>
  <c r="K433" i="11"/>
  <c r="K237" i="11"/>
  <c r="I226" i="11"/>
  <c r="O181" i="11"/>
  <c r="N149" i="11"/>
  <c r="P149" i="11" s="1"/>
  <c r="P151" i="11"/>
  <c r="P279" i="11"/>
  <c r="M277" i="11"/>
  <c r="P277" i="11" s="1"/>
  <c r="K174" i="11"/>
  <c r="I164" i="11"/>
  <c r="K164" i="11" s="1"/>
  <c r="M24" i="11"/>
  <c r="P26" i="11"/>
  <c r="M16" i="11"/>
  <c r="M14" i="11" s="1"/>
  <c r="P121" i="11"/>
  <c r="M119" i="11"/>
  <c r="P119" i="11" s="1"/>
  <c r="L20" i="7"/>
  <c r="L18" i="7" s="1"/>
  <c r="P90" i="8"/>
  <c r="L467" i="9"/>
  <c r="O467" i="9" s="1"/>
  <c r="L41" i="10"/>
  <c r="O41" i="10" s="1"/>
  <c r="N469" i="11"/>
  <c r="N470" i="11"/>
  <c r="O470" i="11" s="1"/>
  <c r="N33" i="11"/>
  <c r="I543" i="11"/>
  <c r="K543" i="11" s="1"/>
  <c r="K559" i="11"/>
  <c r="K143" i="11"/>
  <c r="N16" i="11"/>
  <c r="N14" i="11" s="1"/>
  <c r="N24" i="11"/>
  <c r="M20" i="11"/>
  <c r="L119" i="11"/>
  <c r="O119" i="11" s="1"/>
  <c r="N328" i="11"/>
  <c r="O328" i="11" s="1"/>
  <c r="P264" i="11"/>
  <c r="O264" i="11"/>
  <c r="O43" i="11"/>
  <c r="M9" i="11"/>
  <c r="K236" i="1"/>
  <c r="K131" i="11"/>
  <c r="P330" i="11"/>
  <c r="O263" i="11"/>
  <c r="N261" i="11"/>
  <c r="O19" i="11"/>
  <c r="N20" i="11"/>
  <c r="N18" i="11" s="1"/>
  <c r="N13" i="11"/>
  <c r="P183" i="10"/>
  <c r="I418" i="11"/>
  <c r="K418" i="11" s="1"/>
  <c r="K434" i="11"/>
  <c r="M544" i="11"/>
  <c r="P545" i="11"/>
  <c r="O238" i="11"/>
  <c r="L227" i="11"/>
  <c r="O167" i="11"/>
  <c r="L165" i="11"/>
  <c r="O165" i="11" s="1"/>
  <c r="O26" i="11"/>
  <c r="L16" i="11"/>
  <c r="P347" i="11"/>
  <c r="M345" i="11"/>
  <c r="L24" i="11"/>
  <c r="N21" i="11"/>
  <c r="P21" i="11" s="1"/>
  <c r="O263" i="8"/>
  <c r="P277" i="10"/>
  <c r="L389" i="9"/>
  <c r="O389" i="9" s="1"/>
  <c r="M119" i="9"/>
  <c r="P119" i="9" s="1"/>
  <c r="O134" i="9"/>
  <c r="O391" i="10"/>
  <c r="L389" i="10"/>
  <c r="O389" i="10" s="1"/>
  <c r="O26" i="8"/>
  <c r="P279" i="8"/>
  <c r="O421" i="10"/>
  <c r="P132" i="9"/>
  <c r="O167" i="8"/>
  <c r="O168" i="9"/>
  <c r="P134" i="9"/>
  <c r="L88" i="10"/>
  <c r="L277" i="7"/>
  <c r="O277" i="7" s="1"/>
  <c r="K364" i="7"/>
  <c r="O328" i="9"/>
  <c r="L786" i="9"/>
  <c r="O786" i="9" s="1"/>
  <c r="P44" i="9"/>
  <c r="P263" i="7"/>
  <c r="N328" i="10"/>
  <c r="O328" i="10" s="1"/>
  <c r="M181" i="10"/>
  <c r="P181" i="10" s="1"/>
  <c r="P167" i="9"/>
  <c r="P152" i="6"/>
  <c r="L261" i="8"/>
  <c r="O261" i="8" s="1"/>
  <c r="L181" i="8"/>
  <c r="O181" i="8" s="1"/>
  <c r="P90" i="9"/>
  <c r="P183" i="9"/>
  <c r="K434" i="10"/>
  <c r="P331" i="10"/>
  <c r="M41" i="10"/>
  <c r="P41" i="10" s="1"/>
  <c r="I131" i="10"/>
  <c r="K131" i="10" s="1"/>
  <c r="K143" i="10"/>
  <c r="L66" i="6"/>
  <c r="O66" i="6" s="1"/>
  <c r="L655" i="7"/>
  <c r="O655" i="7" s="1"/>
  <c r="O183" i="7"/>
  <c r="O88" i="9"/>
  <c r="O330" i="9"/>
  <c r="P351" i="10"/>
  <c r="L277" i="10"/>
  <c r="O277" i="10" s="1"/>
  <c r="O181" i="9"/>
  <c r="O183" i="9"/>
  <c r="P181" i="9"/>
  <c r="L315" i="10"/>
  <c r="O315" i="10" s="1"/>
  <c r="I418" i="5"/>
  <c r="K418" i="5" s="1"/>
  <c r="L544" i="10"/>
  <c r="O544" i="10" s="1"/>
  <c r="O546" i="10"/>
  <c r="N444" i="10"/>
  <c r="L402" i="10"/>
  <c r="O402" i="10" s="1"/>
  <c r="L261" i="10"/>
  <c r="O261" i="10" s="1"/>
  <c r="O263" i="10"/>
  <c r="L181" i="10"/>
  <c r="O181" i="10" s="1"/>
  <c r="K433" i="10"/>
  <c r="I417" i="10"/>
  <c r="K417" i="10" s="1"/>
  <c r="P19" i="10"/>
  <c r="J275" i="10"/>
  <c r="K275" i="10" s="1"/>
  <c r="K288" i="10"/>
  <c r="N31" i="10"/>
  <c r="P91" i="6"/>
  <c r="I164" i="10"/>
  <c r="K164" i="10" s="1"/>
  <c r="K174" i="10"/>
  <c r="P30" i="10"/>
  <c r="M28" i="10"/>
  <c r="P28" i="10" s="1"/>
  <c r="N132" i="10"/>
  <c r="P132" i="10" s="1"/>
  <c r="N9" i="10"/>
  <c r="P12" i="10"/>
  <c r="M9" i="10"/>
  <c r="P298" i="10"/>
  <c r="O277" i="8"/>
  <c r="O632" i="10"/>
  <c r="O470" i="10"/>
  <c r="L28" i="10"/>
  <c r="O28" i="10" s="1"/>
  <c r="O29" i="10"/>
  <c r="K76" i="10"/>
  <c r="I64" i="10"/>
  <c r="K64" i="10" s="1"/>
  <c r="O238" i="10"/>
  <c r="L227" i="10"/>
  <c r="O134" i="10"/>
  <c r="P53" i="8"/>
  <c r="P330" i="10"/>
  <c r="M328" i="10"/>
  <c r="P23" i="10"/>
  <c r="M20" i="10"/>
  <c r="M13" i="10"/>
  <c r="M11" i="10" s="1"/>
  <c r="M21" i="10"/>
  <c r="P21" i="10" s="1"/>
  <c r="K237" i="10"/>
  <c r="I226" i="10"/>
  <c r="P68" i="10"/>
  <c r="M66" i="10"/>
  <c r="P66" i="10" s="1"/>
  <c r="O31" i="10"/>
  <c r="M66" i="6"/>
  <c r="P66" i="6" s="1"/>
  <c r="O318" i="6"/>
  <c r="O134" i="6"/>
  <c r="L345" i="10"/>
  <c r="O345" i="10" s="1"/>
  <c r="L467" i="10"/>
  <c r="N414" i="10"/>
  <c r="P55" i="10"/>
  <c r="O55" i="10"/>
  <c r="O419" i="10"/>
  <c r="O15" i="10"/>
  <c r="O121" i="10"/>
  <c r="L119" i="10"/>
  <c r="O119" i="10" s="1"/>
  <c r="P264" i="10"/>
  <c r="N53" i="10"/>
  <c r="N24" i="10"/>
  <c r="O301" i="10"/>
  <c r="P419" i="10"/>
  <c r="M414" i="10"/>
  <c r="P414" i="10" s="1"/>
  <c r="O444" i="10"/>
  <c r="N20" i="10"/>
  <c r="N18" i="10" s="1"/>
  <c r="N13" i="10"/>
  <c r="N10" i="10" s="1"/>
  <c r="L9" i="10"/>
  <c r="L21" i="10"/>
  <c r="O21" i="10" s="1"/>
  <c r="O23" i="10"/>
  <c r="L20" i="10"/>
  <c r="L13" i="10"/>
  <c r="P26" i="10"/>
  <c r="M16" i="10"/>
  <c r="M24" i="10"/>
  <c r="O26" i="10"/>
  <c r="O33" i="10"/>
  <c r="O421" i="8"/>
  <c r="L419" i="9"/>
  <c r="O419" i="9" s="1"/>
  <c r="O345" i="9"/>
  <c r="P263" i="8"/>
  <c r="L119" i="9"/>
  <c r="O119" i="9" s="1"/>
  <c r="O23" i="9"/>
  <c r="O132" i="6"/>
  <c r="M315" i="8"/>
  <c r="P315" i="8" s="1"/>
  <c r="O88" i="8"/>
  <c r="K143" i="8"/>
  <c r="L655" i="9"/>
  <c r="O655" i="9" s="1"/>
  <c r="O347" i="9"/>
  <c r="L149" i="9"/>
  <c r="O149" i="9" s="1"/>
  <c r="O151" i="9"/>
  <c r="P68" i="4"/>
  <c r="P300" i="7"/>
  <c r="M402" i="9"/>
  <c r="P402" i="9" s="1"/>
  <c r="O90" i="9"/>
  <c r="L629" i="9"/>
  <c r="O629" i="9" s="1"/>
  <c r="N53" i="9"/>
  <c r="O55" i="9"/>
  <c r="P300" i="6"/>
  <c r="M261" i="8"/>
  <c r="P261" i="8" s="1"/>
  <c r="P348" i="8"/>
  <c r="N41" i="9"/>
  <c r="P41" i="9" s="1"/>
  <c r="M20" i="9"/>
  <c r="M18" i="9" s="1"/>
  <c r="L544" i="4"/>
  <c r="O544" i="4" s="1"/>
  <c r="M132" i="5"/>
  <c r="P132" i="5" s="1"/>
  <c r="L655" i="6"/>
  <c r="O655" i="6" s="1"/>
  <c r="L444" i="7"/>
  <c r="O444" i="7" s="1"/>
  <c r="L20" i="8"/>
  <c r="L18" i="8" s="1"/>
  <c r="M24" i="9"/>
  <c r="K143" i="9"/>
  <c r="L277" i="9"/>
  <c r="O277" i="9" s="1"/>
  <c r="O279" i="9"/>
  <c r="L685" i="5"/>
  <c r="O685" i="5" s="1"/>
  <c r="L88" i="6"/>
  <c r="O88" i="6" s="1"/>
  <c r="M119" i="7"/>
  <c r="P119" i="7" s="1"/>
  <c r="P55" i="9"/>
  <c r="K433" i="9"/>
  <c r="J417" i="9"/>
  <c r="K417" i="9" s="1"/>
  <c r="L132" i="5"/>
  <c r="O132" i="5" s="1"/>
  <c r="P90" i="6"/>
  <c r="L523" i="7"/>
  <c r="O523" i="7" s="1"/>
  <c r="P55" i="8"/>
  <c r="K174" i="9"/>
  <c r="I164" i="9"/>
  <c r="K164" i="9" s="1"/>
  <c r="O43" i="8"/>
  <c r="P347" i="9"/>
  <c r="M345" i="9"/>
  <c r="P345" i="9" s="1"/>
  <c r="O238" i="9"/>
  <c r="L227" i="9"/>
  <c r="K593" i="9"/>
  <c r="N20" i="9"/>
  <c r="N13" i="9"/>
  <c r="N21" i="9"/>
  <c r="O21" i="9" s="1"/>
  <c r="L685" i="6"/>
  <c r="O685" i="6" s="1"/>
  <c r="K237" i="9"/>
  <c r="I226" i="9"/>
  <c r="M414" i="9"/>
  <c r="P414" i="9" s="1"/>
  <c r="P19" i="9"/>
  <c r="N414" i="9"/>
  <c r="M88" i="9"/>
  <c r="P88" i="9" s="1"/>
  <c r="L13" i="9"/>
  <c r="P391" i="8"/>
  <c r="M389" i="8"/>
  <c r="P389" i="8" s="1"/>
  <c r="K592" i="9"/>
  <c r="P263" i="9"/>
  <c r="P12" i="9"/>
  <c r="M9" i="9"/>
  <c r="O632" i="9"/>
  <c r="O33" i="8"/>
  <c r="L31" i="8"/>
  <c r="O31" i="8" s="1"/>
  <c r="L20" i="9"/>
  <c r="I65" i="9"/>
  <c r="K65" i="9" s="1"/>
  <c r="K77" i="9"/>
  <c r="P330" i="9"/>
  <c r="M328" i="9"/>
  <c r="P328" i="9" s="1"/>
  <c r="O26" i="9"/>
  <c r="L16" i="9"/>
  <c r="N16" i="9"/>
  <c r="N24" i="9"/>
  <c r="O24" i="9" s="1"/>
  <c r="P132" i="6"/>
  <c r="M298" i="9"/>
  <c r="P298" i="9" s="1"/>
  <c r="K559" i="9"/>
  <c r="J543" i="9"/>
  <c r="K543" i="9" s="1"/>
  <c r="O447" i="9"/>
  <c r="O687" i="9"/>
  <c r="L685" i="9"/>
  <c r="O685" i="9" s="1"/>
  <c r="I418" i="9"/>
  <c r="K418" i="9" s="1"/>
  <c r="K434" i="9"/>
  <c r="I64" i="9"/>
  <c r="K64" i="9" s="1"/>
  <c r="K76" i="9"/>
  <c r="O9" i="9"/>
  <c r="O43" i="9"/>
  <c r="P26" i="9"/>
  <c r="O167" i="7"/>
  <c r="O525" i="9"/>
  <c r="L523" i="9"/>
  <c r="O523" i="9" s="1"/>
  <c r="P391" i="9"/>
  <c r="M389" i="9"/>
  <c r="P389" i="9" s="1"/>
  <c r="L444" i="9"/>
  <c r="O444" i="9" s="1"/>
  <c r="O33" i="9"/>
  <c r="L30" i="9"/>
  <c r="M66" i="9"/>
  <c r="K433" i="6"/>
  <c r="O279" i="6"/>
  <c r="P149" i="7"/>
  <c r="K364" i="6"/>
  <c r="L34" i="8"/>
  <c r="O34" i="8" s="1"/>
  <c r="L30" i="8"/>
  <c r="O30" i="8" s="1"/>
  <c r="L315" i="8"/>
  <c r="O315" i="8" s="1"/>
  <c r="O41" i="8"/>
  <c r="O280" i="6"/>
  <c r="P43" i="8"/>
  <c r="O347" i="5"/>
  <c r="L389" i="7"/>
  <c r="O389" i="7" s="1"/>
  <c r="L345" i="7"/>
  <c r="O345" i="7" s="1"/>
  <c r="J275" i="8"/>
  <c r="K275" i="8" s="1"/>
  <c r="K288" i="8"/>
  <c r="L345" i="5"/>
  <c r="O345" i="5" s="1"/>
  <c r="L419" i="7"/>
  <c r="O419" i="7" s="1"/>
  <c r="O33" i="7"/>
  <c r="L34" i="7"/>
  <c r="O34" i="7" s="1"/>
  <c r="L444" i="8"/>
  <c r="O444" i="8" s="1"/>
  <c r="P181" i="8"/>
  <c r="O279" i="8"/>
  <c r="O90" i="5"/>
  <c r="P183" i="6"/>
  <c r="M10" i="7"/>
  <c r="P168" i="4"/>
  <c r="O301" i="6"/>
  <c r="O183" i="6"/>
  <c r="M21" i="7"/>
  <c r="P21" i="7" s="1"/>
  <c r="P280" i="7"/>
  <c r="M277" i="7"/>
  <c r="P277" i="7" s="1"/>
  <c r="L629" i="8"/>
  <c r="O629" i="8" s="1"/>
  <c r="M41" i="8"/>
  <c r="P41" i="8" s="1"/>
  <c r="O347" i="2"/>
  <c r="L298" i="4"/>
  <c r="O298" i="4" s="1"/>
  <c r="L181" i="6"/>
  <c r="O181" i="6" s="1"/>
  <c r="P44" i="6"/>
  <c r="P264" i="6"/>
  <c r="O330" i="7"/>
  <c r="P23" i="7"/>
  <c r="L523" i="8"/>
  <c r="O523" i="8" s="1"/>
  <c r="M298" i="8"/>
  <c r="P298" i="8" s="1"/>
  <c r="P277" i="8"/>
  <c r="P88" i="8"/>
  <c r="K77" i="8"/>
  <c r="I65" i="8"/>
  <c r="K65" i="8" s="1"/>
  <c r="P9" i="8"/>
  <c r="P90" i="7"/>
  <c r="O546" i="8"/>
  <c r="L544" i="8"/>
  <c r="O544" i="8" s="1"/>
  <c r="O391" i="8"/>
  <c r="L389" i="8"/>
  <c r="O389" i="8" s="1"/>
  <c r="O300" i="8"/>
  <c r="L298" i="8"/>
  <c r="O298" i="8" s="1"/>
  <c r="N13" i="8"/>
  <c r="N21" i="8"/>
  <c r="N20" i="8"/>
  <c r="L467" i="8"/>
  <c r="O467" i="8" s="1"/>
  <c r="O121" i="8"/>
  <c r="L119" i="8"/>
  <c r="O119" i="8" s="1"/>
  <c r="N66" i="8"/>
  <c r="P66" i="8" s="1"/>
  <c r="O68" i="8"/>
  <c r="M24" i="8"/>
  <c r="M16" i="8"/>
  <c r="P26" i="8"/>
  <c r="M402" i="4"/>
  <c r="P402" i="4" s="1"/>
  <c r="O351" i="4"/>
  <c r="P43" i="4"/>
  <c r="K77" i="6"/>
  <c r="M88" i="7"/>
  <c r="P88" i="7" s="1"/>
  <c r="L24" i="7"/>
  <c r="L30" i="7"/>
  <c r="L28" i="7" s="1"/>
  <c r="O28" i="7" s="1"/>
  <c r="L227" i="7"/>
  <c r="M165" i="7"/>
  <c r="P165" i="7" s="1"/>
  <c r="O685" i="8"/>
  <c r="L328" i="8"/>
  <c r="O330" i="8"/>
  <c r="M28" i="8"/>
  <c r="P28" i="8" s="1"/>
  <c r="P29" i="8"/>
  <c r="N328" i="8"/>
  <c r="P328" i="8" s="1"/>
  <c r="N16" i="8"/>
  <c r="N14" i="8" s="1"/>
  <c r="N24" i="8"/>
  <c r="O24" i="8" s="1"/>
  <c r="K434" i="8"/>
  <c r="I418" i="8"/>
  <c r="K418" i="8" s="1"/>
  <c r="P351" i="8"/>
  <c r="M20" i="8"/>
  <c r="M13" i="8"/>
  <c r="P23" i="8"/>
  <c r="M21" i="8"/>
  <c r="O151" i="6"/>
  <c r="O184" i="8"/>
  <c r="O55" i="8"/>
  <c r="L53" i="8"/>
  <c r="O23" i="8"/>
  <c r="N149" i="8"/>
  <c r="P151" i="8"/>
  <c r="O149" i="1"/>
  <c r="K559" i="5"/>
  <c r="O21" i="7"/>
  <c r="O9" i="8"/>
  <c r="K248" i="8"/>
  <c r="I226" i="8"/>
  <c r="N9" i="8"/>
  <c r="O546" i="6"/>
  <c r="P26" i="7"/>
  <c r="K76" i="7"/>
  <c r="M414" i="8"/>
  <c r="P414" i="8" s="1"/>
  <c r="O238" i="8"/>
  <c r="L227" i="8"/>
  <c r="P167" i="8"/>
  <c r="N165" i="8"/>
  <c r="P165" i="8" s="1"/>
  <c r="P280" i="8"/>
  <c r="O419" i="8"/>
  <c r="P347" i="8"/>
  <c r="N345" i="8"/>
  <c r="O345" i="8" s="1"/>
  <c r="P151" i="1"/>
  <c r="P151" i="4"/>
  <c r="O167" i="4"/>
  <c r="O149" i="6"/>
  <c r="P43" i="7"/>
  <c r="O90" i="7"/>
  <c r="M181" i="7"/>
  <c r="P181" i="7" s="1"/>
  <c r="N53" i="7"/>
  <c r="P53" i="7" s="1"/>
  <c r="L402" i="8"/>
  <c r="O402" i="8" s="1"/>
  <c r="O404" i="8"/>
  <c r="I164" i="8"/>
  <c r="K164" i="8" s="1"/>
  <c r="K174" i="8"/>
  <c r="P15" i="8"/>
  <c r="P68" i="8"/>
  <c r="P328" i="4"/>
  <c r="P167" i="5"/>
  <c r="L277" i="5"/>
  <c r="O277" i="5" s="1"/>
  <c r="O263" i="6"/>
  <c r="L34" i="6"/>
  <c r="O34" i="6" s="1"/>
  <c r="O91" i="6"/>
  <c r="L13" i="7"/>
  <c r="L11" i="7" s="1"/>
  <c r="P151" i="7"/>
  <c r="M20" i="7"/>
  <c r="M18" i="7" s="1"/>
  <c r="P88" i="6"/>
  <c r="M24" i="7"/>
  <c r="P167" i="6"/>
  <c r="I543" i="7"/>
  <c r="K543" i="7" s="1"/>
  <c r="L328" i="7"/>
  <c r="O328" i="7" s="1"/>
  <c r="O469" i="7"/>
  <c r="L467" i="7"/>
  <c r="O467" i="7" s="1"/>
  <c r="O88" i="3"/>
  <c r="I164" i="6"/>
  <c r="K164" i="6" s="1"/>
  <c r="K433" i="7"/>
  <c r="I417" i="7"/>
  <c r="K417" i="7" s="1"/>
  <c r="I418" i="7"/>
  <c r="K418" i="7" s="1"/>
  <c r="K434" i="7"/>
  <c r="P134" i="7"/>
  <c r="M132" i="7"/>
  <c r="P132" i="7" s="1"/>
  <c r="P149" i="2"/>
  <c r="O331" i="6"/>
  <c r="O264" i="7"/>
  <c r="L402" i="7"/>
  <c r="O402" i="7" s="1"/>
  <c r="O317" i="7"/>
  <c r="L315" i="7"/>
  <c r="O315" i="7" s="1"/>
  <c r="P300" i="5"/>
  <c r="O167" i="5"/>
  <c r="M389" i="5"/>
  <c r="P389" i="5" s="1"/>
  <c r="P279" i="6"/>
  <c r="M41" i="7"/>
  <c r="N41" i="7"/>
  <c r="P347" i="7"/>
  <c r="M345" i="7"/>
  <c r="P345" i="7" s="1"/>
  <c r="I64" i="3"/>
  <c r="K64" i="3" s="1"/>
  <c r="M315" i="4"/>
  <c r="P315" i="4" s="1"/>
  <c r="P88" i="2"/>
  <c r="O391" i="6"/>
  <c r="N24" i="6"/>
  <c r="P24" i="6" s="1"/>
  <c r="P345" i="6"/>
  <c r="O167" i="6"/>
  <c r="O26" i="7"/>
  <c r="L16" i="7"/>
  <c r="L132" i="7"/>
  <c r="O132" i="7" s="1"/>
  <c r="L786" i="6"/>
  <c r="O786" i="6" s="1"/>
  <c r="O546" i="7"/>
  <c r="L544" i="7"/>
  <c r="O544" i="7" s="1"/>
  <c r="K174" i="7"/>
  <c r="I164" i="7"/>
  <c r="K164" i="7" s="1"/>
  <c r="P391" i="7"/>
  <c r="M389" i="7"/>
  <c r="P389" i="7" s="1"/>
  <c r="P330" i="7"/>
  <c r="M328" i="7"/>
  <c r="P328" i="7" s="1"/>
  <c r="L53" i="7"/>
  <c r="O55" i="7"/>
  <c r="O23" i="7"/>
  <c r="N20" i="7"/>
  <c r="N13" i="7"/>
  <c r="N11" i="7" s="1"/>
  <c r="P152" i="7"/>
  <c r="L119" i="7"/>
  <c r="O119" i="7" s="1"/>
  <c r="O121" i="7"/>
  <c r="P68" i="7"/>
  <c r="M66" i="7"/>
  <c r="P66" i="7" s="1"/>
  <c r="O19" i="7"/>
  <c r="L629" i="5"/>
  <c r="O629" i="5" s="1"/>
  <c r="O546" i="5"/>
  <c r="L402" i="6"/>
  <c r="O402" i="6" s="1"/>
  <c r="P347" i="6"/>
  <c r="M181" i="6"/>
  <c r="P181" i="6" s="1"/>
  <c r="L53" i="6"/>
  <c r="O53" i="6" s="1"/>
  <c r="K237" i="7"/>
  <c r="I226" i="7"/>
  <c r="L685" i="7"/>
  <c r="O685" i="7" s="1"/>
  <c r="K275" i="7"/>
  <c r="N24" i="7"/>
  <c r="N16" i="7"/>
  <c r="O151" i="7"/>
  <c r="L149" i="7"/>
  <c r="O149" i="7" s="1"/>
  <c r="P15" i="7"/>
  <c r="M14" i="7"/>
  <c r="P29" i="7"/>
  <c r="M28" i="7"/>
  <c r="P28" i="7" s="1"/>
  <c r="K77" i="7"/>
  <c r="I65" i="7"/>
  <c r="K65" i="7" s="1"/>
  <c r="M11" i="7"/>
  <c r="P12" i="7"/>
  <c r="M9" i="7"/>
  <c r="O121" i="6"/>
  <c r="M402" i="7"/>
  <c r="P402" i="7" s="1"/>
  <c r="P404" i="7"/>
  <c r="K288" i="7"/>
  <c r="N9" i="7"/>
  <c r="J593" i="1"/>
  <c r="J592" i="1" s="1"/>
  <c r="K592" i="1" s="1"/>
  <c r="O168" i="4"/>
  <c r="O421" i="5"/>
  <c r="P183" i="5"/>
  <c r="P263" i="5"/>
  <c r="M165" i="6"/>
  <c r="N119" i="6"/>
  <c r="O119" i="6" s="1"/>
  <c r="O263" i="5"/>
  <c r="P184" i="6"/>
  <c r="P121" i="6"/>
  <c r="P90" i="2"/>
  <c r="K364" i="3"/>
  <c r="O261" i="5"/>
  <c r="P168" i="5"/>
  <c r="N165" i="6"/>
  <c r="O165" i="6" s="1"/>
  <c r="O348" i="5"/>
  <c r="O183" i="5"/>
  <c r="P279" i="5"/>
  <c r="P348" i="5"/>
  <c r="J522" i="6"/>
  <c r="K522" i="6" s="1"/>
  <c r="K537" i="6"/>
  <c r="L402" i="5"/>
  <c r="O402" i="5" s="1"/>
  <c r="P330" i="6"/>
  <c r="P55" i="6"/>
  <c r="M53" i="6"/>
  <c r="P53" i="6" s="1"/>
  <c r="P298" i="6"/>
  <c r="O181" i="4"/>
  <c r="O43" i="5"/>
  <c r="O317" i="6"/>
  <c r="P23" i="6"/>
  <c r="L523" i="6"/>
  <c r="O523" i="6" s="1"/>
  <c r="K76" i="6"/>
  <c r="I64" i="6"/>
  <c r="K64" i="6" s="1"/>
  <c r="L389" i="5"/>
  <c r="O389" i="5" s="1"/>
  <c r="N328" i="6"/>
  <c r="O328" i="6" s="1"/>
  <c r="P277" i="5"/>
  <c r="O56" i="6"/>
  <c r="P183" i="4"/>
  <c r="M181" i="5"/>
  <c r="O280" i="5"/>
  <c r="P41" i="4"/>
  <c r="O261" i="6"/>
  <c r="P391" i="6"/>
  <c r="M389" i="6"/>
  <c r="P389" i="6" s="1"/>
  <c r="P134" i="6"/>
  <c r="O181" i="3"/>
  <c r="P43" i="5"/>
  <c r="P280" i="6"/>
  <c r="M13" i="6"/>
  <c r="M11" i="6" s="1"/>
  <c r="K434" i="6"/>
  <c r="I418" i="6"/>
  <c r="K418" i="6" s="1"/>
  <c r="L30" i="6"/>
  <c r="O30" i="6" s="1"/>
  <c r="L31" i="6"/>
  <c r="O31" i="6" s="1"/>
  <c r="O33" i="6"/>
  <c r="P347" i="5"/>
  <c r="P66" i="5"/>
  <c r="O43" i="6"/>
  <c r="L41" i="6"/>
  <c r="P9" i="6"/>
  <c r="L9" i="6"/>
  <c r="O12" i="6"/>
  <c r="L655" i="5"/>
  <c r="O655" i="5" s="1"/>
  <c r="P345" i="5"/>
  <c r="L419" i="6"/>
  <c r="O421" i="6"/>
  <c r="L298" i="6"/>
  <c r="O298" i="6" s="1"/>
  <c r="M277" i="6"/>
  <c r="P277" i="6" s="1"/>
  <c r="P331" i="6"/>
  <c r="P151" i="6"/>
  <c r="M149" i="6"/>
  <c r="P149" i="6" s="1"/>
  <c r="O44" i="6"/>
  <c r="M28" i="6"/>
  <c r="P28" i="6" s="1"/>
  <c r="L24" i="6"/>
  <c r="L16" i="6"/>
  <c r="O26" i="6"/>
  <c r="K143" i="6"/>
  <c r="I131" i="6"/>
  <c r="K131" i="6" s="1"/>
  <c r="M402" i="5"/>
  <c r="P402" i="5" s="1"/>
  <c r="P345" i="4"/>
  <c r="L629" i="6"/>
  <c r="O629" i="6" s="1"/>
  <c r="O631" i="6"/>
  <c r="K237" i="6"/>
  <c r="I226" i="6"/>
  <c r="P263" i="6"/>
  <c r="M261" i="6"/>
  <c r="P261" i="6" s="1"/>
  <c r="P26" i="6"/>
  <c r="M16" i="6"/>
  <c r="L345" i="6"/>
  <c r="O345" i="6" s="1"/>
  <c r="O347" i="6"/>
  <c r="O29" i="6"/>
  <c r="M402" i="6"/>
  <c r="P402" i="6" s="1"/>
  <c r="P404" i="6"/>
  <c r="P151" i="5"/>
  <c r="M149" i="5"/>
  <c r="P149" i="5" s="1"/>
  <c r="P43" i="6"/>
  <c r="N41" i="6"/>
  <c r="P41" i="6" s="1"/>
  <c r="O469" i="6"/>
  <c r="L467" i="6"/>
  <c r="O467" i="6" s="1"/>
  <c r="L444" i="6"/>
  <c r="O444" i="6" s="1"/>
  <c r="O446" i="6"/>
  <c r="P328" i="6"/>
  <c r="M414" i="6"/>
  <c r="P414" i="6" s="1"/>
  <c r="O23" i="6"/>
  <c r="L20" i="6"/>
  <c r="L13" i="6"/>
  <c r="L11" i="6" s="1"/>
  <c r="L227" i="6"/>
  <c r="L21" i="6"/>
  <c r="N20" i="6"/>
  <c r="N18" i="6" s="1"/>
  <c r="N13" i="6"/>
  <c r="N21" i="6"/>
  <c r="P21" i="6" s="1"/>
  <c r="M20" i="6"/>
  <c r="O43" i="4"/>
  <c r="P43" i="3"/>
  <c r="K77" i="5"/>
  <c r="L165" i="4"/>
  <c r="O165" i="4" s="1"/>
  <c r="P348" i="4"/>
  <c r="L444" i="5"/>
  <c r="O444" i="5" s="1"/>
  <c r="L629" i="4"/>
  <c r="O629" i="4" s="1"/>
  <c r="P88" i="4"/>
  <c r="I131" i="5"/>
  <c r="K131" i="5" s="1"/>
  <c r="O90" i="4"/>
  <c r="N298" i="5"/>
  <c r="O298" i="5" s="1"/>
  <c r="L30" i="5"/>
  <c r="O30" i="5" s="1"/>
  <c r="L315" i="5"/>
  <c r="O315" i="5" s="1"/>
  <c r="K76" i="5"/>
  <c r="M165" i="4"/>
  <c r="P165" i="4" s="1"/>
  <c r="O184" i="4"/>
  <c r="K76" i="4"/>
  <c r="O347" i="4"/>
  <c r="P261" i="5"/>
  <c r="P301" i="5"/>
  <c r="O55" i="5"/>
  <c r="O53" i="5"/>
  <c r="O300" i="5"/>
  <c r="P121" i="5"/>
  <c r="M119" i="5"/>
  <c r="P119" i="5" s="1"/>
  <c r="M119" i="4"/>
  <c r="P119" i="4" s="1"/>
  <c r="P347" i="4"/>
  <c r="L31" i="5"/>
  <c r="O31" i="5" s="1"/>
  <c r="M53" i="5"/>
  <c r="P53" i="5" s="1"/>
  <c r="P55" i="5"/>
  <c r="M41" i="3"/>
  <c r="O183" i="4"/>
  <c r="L523" i="5"/>
  <c r="O523" i="5" s="1"/>
  <c r="M41" i="5"/>
  <c r="P41" i="5" s="1"/>
  <c r="O151" i="5"/>
  <c r="L149" i="5"/>
  <c r="O149" i="5" s="1"/>
  <c r="P56" i="5"/>
  <c r="O168" i="5"/>
  <c r="O68" i="3"/>
  <c r="P300" i="3"/>
  <c r="L655" i="4"/>
  <c r="O655" i="4" s="1"/>
  <c r="N149" i="4"/>
  <c r="P149" i="4" s="1"/>
  <c r="L315" i="4"/>
  <c r="O315" i="4" s="1"/>
  <c r="N181" i="5"/>
  <c r="O181" i="5" s="1"/>
  <c r="K275" i="5"/>
  <c r="P328" i="5"/>
  <c r="P330" i="5"/>
  <c r="P68" i="5"/>
  <c r="M119" i="3"/>
  <c r="P119" i="3" s="1"/>
  <c r="O301" i="3"/>
  <c r="I164" i="5"/>
  <c r="K164" i="5" s="1"/>
  <c r="K174" i="5"/>
  <c r="J417" i="5"/>
  <c r="K417" i="5" s="1"/>
  <c r="K433" i="5"/>
  <c r="P19" i="5"/>
  <c r="K233" i="1"/>
  <c r="N88" i="5"/>
  <c r="P88" i="5" s="1"/>
  <c r="O419" i="5"/>
  <c r="O165" i="5"/>
  <c r="N9" i="5"/>
  <c r="P331" i="4"/>
  <c r="O404" i="4"/>
  <c r="O68" i="5"/>
  <c r="L66" i="5"/>
  <c r="O66" i="5" s="1"/>
  <c r="N20" i="5"/>
  <c r="N18" i="5" s="1"/>
  <c r="N13" i="5"/>
  <c r="N10" i="5" s="1"/>
  <c r="N21" i="5"/>
  <c r="J364" i="5"/>
  <c r="K364" i="5" s="1"/>
  <c r="L9" i="5"/>
  <c r="O15" i="5"/>
  <c r="O544" i="5"/>
  <c r="M165" i="5"/>
  <c r="P165" i="5" s="1"/>
  <c r="O29" i="5"/>
  <c r="O181" i="2"/>
  <c r="P263" i="3"/>
  <c r="M181" i="4"/>
  <c r="P181" i="4" s="1"/>
  <c r="P523" i="5"/>
  <c r="M414" i="5"/>
  <c r="P414" i="5" s="1"/>
  <c r="L13" i="5"/>
  <c r="L21" i="5"/>
  <c r="L20" i="5"/>
  <c r="O23" i="5"/>
  <c r="P15" i="5"/>
  <c r="N24" i="5"/>
  <c r="O24" i="5" s="1"/>
  <c r="L34" i="5"/>
  <c r="O34" i="5" s="1"/>
  <c r="O36" i="5"/>
  <c r="O26" i="5"/>
  <c r="L16" i="5"/>
  <c r="O16" i="5" s="1"/>
  <c r="M21" i="5"/>
  <c r="M20" i="5"/>
  <c r="M18" i="5" s="1"/>
  <c r="P23" i="5"/>
  <c r="M13" i="5"/>
  <c r="O33" i="5"/>
  <c r="L227" i="5"/>
  <c r="N277" i="3"/>
  <c r="O277" i="3" s="1"/>
  <c r="O90" i="3"/>
  <c r="L685" i="4"/>
  <c r="O685" i="4" s="1"/>
  <c r="O55" i="4"/>
  <c r="P280" i="4"/>
  <c r="K237" i="5"/>
  <c r="I226" i="5"/>
  <c r="L467" i="5"/>
  <c r="O467" i="5" s="1"/>
  <c r="O330" i="5"/>
  <c r="L328" i="5"/>
  <c r="O328" i="5" s="1"/>
  <c r="O41" i="5"/>
  <c r="M315" i="5"/>
  <c r="P315" i="5" s="1"/>
  <c r="P26" i="5"/>
  <c r="M16" i="5"/>
  <c r="P16" i="5" s="1"/>
  <c r="M24" i="5"/>
  <c r="P12" i="5"/>
  <c r="M9" i="5"/>
  <c r="P90" i="5"/>
  <c r="O152" i="1"/>
  <c r="O525" i="2"/>
  <c r="K77" i="3"/>
  <c r="L41" i="4"/>
  <c r="O41" i="4" s="1"/>
  <c r="O348" i="4"/>
  <c r="P90" i="4"/>
  <c r="P330" i="3"/>
  <c r="O331" i="4"/>
  <c r="M345" i="2"/>
  <c r="P345" i="2" s="1"/>
  <c r="O391" i="4"/>
  <c r="L389" i="4"/>
  <c r="O389" i="4" s="1"/>
  <c r="P90" i="3"/>
  <c r="O33" i="4"/>
  <c r="P330" i="4"/>
  <c r="J559" i="1"/>
  <c r="J543" i="1" s="1"/>
  <c r="K543" i="1" s="1"/>
  <c r="K576" i="1"/>
  <c r="M328" i="3"/>
  <c r="P328" i="3" s="1"/>
  <c r="N789" i="1"/>
  <c r="O789" i="1" s="1"/>
  <c r="O90" i="2"/>
  <c r="P183" i="3"/>
  <c r="K417" i="3"/>
  <c r="O36" i="3"/>
  <c r="O261" i="4"/>
  <c r="L66" i="4"/>
  <c r="O66" i="4" s="1"/>
  <c r="P55" i="4"/>
  <c r="N53" i="4"/>
  <c r="P53" i="4" s="1"/>
  <c r="O421" i="4"/>
  <c r="L419" i="4"/>
  <c r="O419" i="4" s="1"/>
  <c r="K174" i="4"/>
  <c r="I164" i="4"/>
  <c r="K164" i="4" s="1"/>
  <c r="O151" i="4"/>
  <c r="L149" i="4"/>
  <c r="O149" i="4" s="1"/>
  <c r="L132" i="3"/>
  <c r="O132" i="3" s="1"/>
  <c r="K433" i="3"/>
  <c r="O33" i="3"/>
  <c r="P277" i="2"/>
  <c r="N298" i="3"/>
  <c r="P298" i="3" s="1"/>
  <c r="P264" i="3"/>
  <c r="O263" i="4"/>
  <c r="L467" i="4"/>
  <c r="O467" i="4" s="1"/>
  <c r="O330" i="4"/>
  <c r="L328" i="4"/>
  <c r="O328" i="4" s="1"/>
  <c r="M261" i="3"/>
  <c r="P261" i="3" s="1"/>
  <c r="M389" i="3"/>
  <c r="P389" i="3" s="1"/>
  <c r="O151" i="3"/>
  <c r="N20" i="3"/>
  <c r="N18" i="3" s="1"/>
  <c r="L786" i="4"/>
  <c r="O786" i="4" s="1"/>
  <c r="L402" i="1"/>
  <c r="O402" i="1" s="1"/>
  <c r="L523" i="3"/>
  <c r="O523" i="3" s="1"/>
  <c r="N21" i="3"/>
  <c r="P391" i="4"/>
  <c r="M389" i="4"/>
  <c r="P389" i="4" s="1"/>
  <c r="L444" i="4"/>
  <c r="O444" i="4" s="1"/>
  <c r="O121" i="4"/>
  <c r="L119" i="4"/>
  <c r="O119" i="4" s="1"/>
  <c r="O279" i="4"/>
  <c r="N277" i="4"/>
  <c r="P12" i="4"/>
  <c r="M9" i="4"/>
  <c r="M402" i="2"/>
  <c r="P402" i="2" s="1"/>
  <c r="K364" i="2"/>
  <c r="O300" i="3"/>
  <c r="O183" i="3"/>
  <c r="N24" i="3"/>
  <c r="K434" i="4"/>
  <c r="I418" i="4"/>
  <c r="K418" i="4" s="1"/>
  <c r="J364" i="4"/>
  <c r="K364" i="4" s="1"/>
  <c r="K365" i="4"/>
  <c r="O12" i="4"/>
  <c r="L9" i="4"/>
  <c r="P19" i="4"/>
  <c r="O19" i="4"/>
  <c r="K235" i="1"/>
  <c r="L345" i="2"/>
  <c r="O345" i="2" s="1"/>
  <c r="P279" i="4"/>
  <c r="O26" i="4"/>
  <c r="L16" i="4"/>
  <c r="N24" i="4"/>
  <c r="P24" i="4" s="1"/>
  <c r="N16" i="4"/>
  <c r="N14" i="4" s="1"/>
  <c r="O29" i="4"/>
  <c r="L30" i="4"/>
  <c r="O30" i="4" s="1"/>
  <c r="O36" i="4"/>
  <c r="L34" i="4"/>
  <c r="O34" i="4" s="1"/>
  <c r="P263" i="4"/>
  <c r="L88" i="4"/>
  <c r="O88" i="4" s="1"/>
  <c r="N688" i="1"/>
  <c r="O688" i="1" s="1"/>
  <c r="L132" i="4"/>
  <c r="O132" i="4" s="1"/>
  <c r="P23" i="4"/>
  <c r="M20" i="4"/>
  <c r="M13" i="4"/>
  <c r="O525" i="4"/>
  <c r="L523" i="4"/>
  <c r="O23" i="4"/>
  <c r="L20" i="4"/>
  <c r="L13" i="4"/>
  <c r="L685" i="2"/>
  <c r="O685" i="2" s="1"/>
  <c r="L786" i="3"/>
  <c r="O786" i="3" s="1"/>
  <c r="P545" i="4"/>
  <c r="M544" i="4"/>
  <c r="K237" i="4"/>
  <c r="I226" i="4"/>
  <c r="P261" i="4"/>
  <c r="M16" i="4"/>
  <c r="P26" i="4"/>
  <c r="O238" i="4"/>
  <c r="L227" i="4"/>
  <c r="L24" i="4"/>
  <c r="O43" i="3"/>
  <c r="K77" i="4"/>
  <c r="I65" i="4"/>
  <c r="K65" i="4" s="1"/>
  <c r="J417" i="4"/>
  <c r="K417" i="4" s="1"/>
  <c r="K433" i="4"/>
  <c r="N20" i="4"/>
  <c r="N18" i="4" s="1"/>
  <c r="N13" i="4"/>
  <c r="N21" i="4"/>
  <c r="O21" i="4" s="1"/>
  <c r="M21" i="4"/>
  <c r="O422" i="1"/>
  <c r="L389" i="2"/>
  <c r="O389" i="2" s="1"/>
  <c r="O33" i="2"/>
  <c r="P151" i="2"/>
  <c r="L30" i="3"/>
  <c r="O30" i="3" s="1"/>
  <c r="P183" i="1"/>
  <c r="L402" i="2"/>
  <c r="O402" i="2" s="1"/>
  <c r="L298" i="3"/>
  <c r="P404" i="3"/>
  <c r="L227" i="3"/>
  <c r="M132" i="3"/>
  <c r="P132" i="3" s="1"/>
  <c r="O53" i="1"/>
  <c r="L261" i="3"/>
  <c r="O261" i="3" s="1"/>
  <c r="M149" i="3"/>
  <c r="P149" i="3" s="1"/>
  <c r="L655" i="3"/>
  <c r="O655" i="3" s="1"/>
  <c r="K275" i="2"/>
  <c r="N41" i="3"/>
  <c r="P330" i="2"/>
  <c r="P181" i="3"/>
  <c r="P183" i="2"/>
  <c r="O183" i="2"/>
  <c r="O315" i="2"/>
  <c r="P300" i="2"/>
  <c r="P68" i="3"/>
  <c r="O328" i="2"/>
  <c r="L544" i="3"/>
  <c r="O544" i="3" s="1"/>
  <c r="O546" i="3"/>
  <c r="O317" i="3"/>
  <c r="L315" i="3"/>
  <c r="O315" i="3" s="1"/>
  <c r="O134" i="1"/>
  <c r="M414" i="3"/>
  <c r="P414" i="3" s="1"/>
  <c r="P419" i="3"/>
  <c r="O446" i="3"/>
  <c r="L444" i="3"/>
  <c r="O444" i="3" s="1"/>
  <c r="L21" i="3"/>
  <c r="L20" i="3"/>
  <c r="L13" i="3"/>
  <c r="O23" i="3"/>
  <c r="L119" i="3"/>
  <c r="O119" i="3" s="1"/>
  <c r="P26" i="3"/>
  <c r="M16" i="3"/>
  <c r="P16" i="3" s="1"/>
  <c r="O167" i="3"/>
  <c r="L165" i="3"/>
  <c r="L119" i="2"/>
  <c r="O119" i="2" s="1"/>
  <c r="P29" i="3"/>
  <c r="M28" i="3"/>
  <c r="P28" i="3" s="1"/>
  <c r="P345" i="3"/>
  <c r="N165" i="3"/>
  <c r="P165" i="3" s="1"/>
  <c r="P167" i="3"/>
  <c r="M24" i="3"/>
  <c r="L467" i="3"/>
  <c r="O467" i="3" s="1"/>
  <c r="N9" i="3"/>
  <c r="O53" i="3"/>
  <c r="O9" i="3"/>
  <c r="P263" i="1"/>
  <c r="L88" i="2"/>
  <c r="O88" i="2" s="1"/>
  <c r="P545" i="3"/>
  <c r="M544" i="3"/>
  <c r="P544" i="3" s="1"/>
  <c r="O391" i="3"/>
  <c r="L389" i="3"/>
  <c r="O389" i="3" s="1"/>
  <c r="P279" i="3"/>
  <c r="M277" i="3"/>
  <c r="P15" i="3"/>
  <c r="L345" i="3"/>
  <c r="O345" i="3" s="1"/>
  <c r="O347" i="3"/>
  <c r="P347" i="3"/>
  <c r="P88" i="3"/>
  <c r="M9" i="3"/>
  <c r="L402" i="3"/>
  <c r="O402" i="3" s="1"/>
  <c r="M315" i="3"/>
  <c r="P315" i="3" s="1"/>
  <c r="O26" i="3"/>
  <c r="L16" i="3"/>
  <c r="O16" i="3" s="1"/>
  <c r="L24" i="3"/>
  <c r="O55" i="3"/>
  <c r="L544" i="2"/>
  <c r="O544" i="2" s="1"/>
  <c r="O56" i="2"/>
  <c r="P53" i="2"/>
  <c r="O29" i="3"/>
  <c r="K288" i="3"/>
  <c r="L685" i="3"/>
  <c r="O685" i="3" s="1"/>
  <c r="N13" i="3"/>
  <c r="N10" i="3" s="1"/>
  <c r="P23" i="3"/>
  <c r="M20" i="3"/>
  <c r="M13" i="3"/>
  <c r="M21" i="3"/>
  <c r="P69" i="3"/>
  <c r="O31" i="3"/>
  <c r="N31" i="3"/>
  <c r="N66" i="3"/>
  <c r="L444" i="2"/>
  <c r="O444" i="2" s="1"/>
  <c r="O167" i="2"/>
  <c r="P43" i="2"/>
  <c r="L328" i="3"/>
  <c r="O328" i="3" s="1"/>
  <c r="O330" i="3"/>
  <c r="O15" i="3"/>
  <c r="M53" i="3"/>
  <c r="P53" i="3" s="1"/>
  <c r="P55" i="3"/>
  <c r="O134" i="2"/>
  <c r="L132" i="2"/>
  <c r="O132" i="2" s="1"/>
  <c r="L419" i="3"/>
  <c r="O421" i="3"/>
  <c r="I418" i="3"/>
  <c r="K418" i="3" s="1"/>
  <c r="K434" i="3"/>
  <c r="I226" i="3"/>
  <c r="K237" i="3"/>
  <c r="M16" i="2"/>
  <c r="P16" i="2" s="1"/>
  <c r="I64" i="2"/>
  <c r="K64" i="2" s="1"/>
  <c r="O151" i="2"/>
  <c r="O317" i="2"/>
  <c r="O91" i="2"/>
  <c r="P279" i="2"/>
  <c r="O690" i="1"/>
  <c r="L419" i="2"/>
  <c r="O264" i="2"/>
  <c r="O330" i="2"/>
  <c r="O263" i="2"/>
  <c r="P300" i="1"/>
  <c r="P134" i="1"/>
  <c r="K77" i="2"/>
  <c r="P165" i="2"/>
  <c r="L66" i="2"/>
  <c r="O66" i="2" s="1"/>
  <c r="K174" i="2"/>
  <c r="I164" i="2"/>
  <c r="K164" i="2" s="1"/>
  <c r="O347" i="1"/>
  <c r="N132" i="1"/>
  <c r="O132" i="1" s="1"/>
  <c r="O261" i="2"/>
  <c r="P318" i="2"/>
  <c r="J522" i="2"/>
  <c r="K522" i="2" s="1"/>
  <c r="K537" i="2"/>
  <c r="N421" i="1"/>
  <c r="N419" i="1" s="1"/>
  <c r="K785" i="1"/>
  <c r="P277" i="1"/>
  <c r="P347" i="1"/>
  <c r="K418" i="1"/>
  <c r="M389" i="2"/>
  <c r="P389" i="2" s="1"/>
  <c r="L149" i="2"/>
  <c r="O149" i="2" s="1"/>
  <c r="O631" i="2"/>
  <c r="O279" i="2"/>
  <c r="L277" i="2"/>
  <c r="O277" i="2" s="1"/>
  <c r="P263" i="2"/>
  <c r="M261" i="2"/>
  <c r="P261" i="2" s="1"/>
  <c r="P68" i="2"/>
  <c r="M66" i="2"/>
  <c r="P66" i="2" s="1"/>
  <c r="L165" i="2"/>
  <c r="O165" i="2" s="1"/>
  <c r="P55" i="2"/>
  <c r="O151" i="1"/>
  <c r="O26" i="2"/>
  <c r="M132" i="2"/>
  <c r="P132" i="2" s="1"/>
  <c r="P134" i="2"/>
  <c r="L467" i="2"/>
  <c r="O467" i="2" s="1"/>
  <c r="O469" i="2"/>
  <c r="P317" i="2"/>
  <c r="O55" i="2"/>
  <c r="L41" i="2"/>
  <c r="O43" i="2"/>
  <c r="M181" i="2"/>
  <c r="P181" i="2" s="1"/>
  <c r="O472" i="1"/>
  <c r="N447" i="1"/>
  <c r="O447" i="1" s="1"/>
  <c r="P315" i="2"/>
  <c r="N24" i="2"/>
  <c r="O24" i="2" s="1"/>
  <c r="K434" i="2"/>
  <c r="I418" i="2"/>
  <c r="K418" i="2" s="1"/>
  <c r="P26" i="2"/>
  <c r="P121" i="2"/>
  <c r="M119" i="2"/>
  <c r="P119" i="2" s="1"/>
  <c r="M328" i="2"/>
  <c r="P328" i="2" s="1"/>
  <c r="O300" i="1"/>
  <c r="O279" i="1"/>
  <c r="O217" i="1"/>
  <c r="P167" i="2"/>
  <c r="N41" i="2"/>
  <c r="O300" i="2"/>
  <c r="L298" i="2"/>
  <c r="O298" i="2" s="1"/>
  <c r="P419" i="2"/>
  <c r="P15" i="2"/>
  <c r="O23" i="2"/>
  <c r="L20" i="2"/>
  <c r="L13" i="2"/>
  <c r="L21" i="2"/>
  <c r="O549" i="1"/>
  <c r="O424" i="1"/>
  <c r="O263" i="1"/>
  <c r="K237" i="2"/>
  <c r="I226" i="2"/>
  <c r="M9" i="2"/>
  <c r="K143" i="2"/>
  <c r="I131" i="2"/>
  <c r="K131" i="2" s="1"/>
  <c r="O29" i="2"/>
  <c r="O9" i="2"/>
  <c r="O36" i="2"/>
  <c r="L34" i="2"/>
  <c r="O34" i="2" s="1"/>
  <c r="L30" i="2"/>
  <c r="O30" i="2" s="1"/>
  <c r="K434" i="1"/>
  <c r="K364" i="1"/>
  <c r="O264" i="1"/>
  <c r="N547" i="1"/>
  <c r="O547" i="1" s="1"/>
  <c r="O249" i="2"/>
  <c r="L227" i="2"/>
  <c r="P545" i="2"/>
  <c r="M544" i="2"/>
  <c r="P544" i="2" s="1"/>
  <c r="O53" i="2"/>
  <c r="P23" i="2"/>
  <c r="M20" i="2"/>
  <c r="M13" i="2"/>
  <c r="O657" i="2"/>
  <c r="N469" i="1"/>
  <c r="N467" i="1" s="1"/>
  <c r="O470" i="1"/>
  <c r="J594" i="1"/>
  <c r="K594" i="1" s="1"/>
  <c r="M28" i="2"/>
  <c r="P28" i="2" s="1"/>
  <c r="P29" i="2"/>
  <c r="K433" i="2"/>
  <c r="J417" i="2"/>
  <c r="K417" i="2" s="1"/>
  <c r="N21" i="2"/>
  <c r="P21" i="2" s="1"/>
  <c r="N20" i="2"/>
  <c r="N18" i="2" s="1"/>
  <c r="N13" i="2"/>
  <c r="O15" i="2"/>
  <c r="K559" i="2"/>
  <c r="I543" i="2"/>
  <c r="K543" i="2" s="1"/>
  <c r="L16" i="2"/>
  <c r="O16" i="2" s="1"/>
  <c r="P88" i="1"/>
  <c r="P279" i="1"/>
  <c r="N788" i="1"/>
  <c r="O788" i="1" s="1"/>
  <c r="M389" i="1"/>
  <c r="P389" i="1" s="1"/>
  <c r="O328" i="1"/>
  <c r="M16" i="1"/>
  <c r="M14" i="1" s="1"/>
  <c r="P14" i="1" s="1"/>
  <c r="O55" i="1"/>
  <c r="O449" i="1"/>
  <c r="K237" i="1"/>
  <c r="O277" i="1"/>
  <c r="O544" i="1"/>
  <c r="O687" i="1"/>
  <c r="O88" i="1"/>
  <c r="P135" i="1"/>
  <c r="K112" i="1"/>
  <c r="P119" i="1"/>
  <c r="N525" i="1"/>
  <c r="N523" i="1" s="1"/>
  <c r="L685" i="1"/>
  <c r="M261" i="1"/>
  <c r="P261" i="1" s="1"/>
  <c r="O198" i="1"/>
  <c r="O528" i="1"/>
  <c r="L298" i="1"/>
  <c r="O298" i="1" s="1"/>
  <c r="M181" i="1"/>
  <c r="P181" i="1" s="1"/>
  <c r="O526" i="1"/>
  <c r="O56" i="1"/>
  <c r="P121" i="1"/>
  <c r="P264" i="1"/>
  <c r="O315" i="1"/>
  <c r="L261" i="1"/>
  <c r="O261" i="1" s="1"/>
  <c r="L34" i="1"/>
  <c r="O34" i="1" s="1"/>
  <c r="O317" i="1"/>
  <c r="L227" i="1"/>
  <c r="N631" i="1"/>
  <c r="N632" i="1"/>
  <c r="O632" i="1" s="1"/>
  <c r="O546" i="1"/>
  <c r="O165" i="1"/>
  <c r="P152" i="1"/>
  <c r="N345" i="1"/>
  <c r="P345" i="1" s="1"/>
  <c r="N227" i="1"/>
  <c r="O90" i="1"/>
  <c r="O209" i="1"/>
  <c r="I226" i="1"/>
  <c r="M402" i="1"/>
  <c r="P402" i="1" s="1"/>
  <c r="P90" i="1"/>
  <c r="P56" i="1"/>
  <c r="N24" i="1"/>
  <c r="O24" i="1" s="1"/>
  <c r="O167" i="1"/>
  <c r="O685" i="1"/>
  <c r="O183" i="1"/>
  <c r="L181" i="1"/>
  <c r="O181" i="1" s="1"/>
  <c r="M315" i="1"/>
  <c r="P315" i="1" s="1"/>
  <c r="P317" i="1"/>
  <c r="O43" i="1"/>
  <c r="L41" i="1"/>
  <c r="P19" i="1"/>
  <c r="P29" i="1"/>
  <c r="M28" i="1"/>
  <c r="P28" i="1" s="1"/>
  <c r="L30" i="1"/>
  <c r="L28" i="1" s="1"/>
  <c r="L523" i="1"/>
  <c r="O391" i="1"/>
  <c r="L389" i="1"/>
  <c r="O389" i="1" s="1"/>
  <c r="P167" i="1"/>
  <c r="M165" i="1"/>
  <c r="P165" i="1" s="1"/>
  <c r="M328" i="1"/>
  <c r="P328" i="1" s="1"/>
  <c r="P330" i="1"/>
  <c r="O29" i="1"/>
  <c r="P55" i="1"/>
  <c r="M53" i="1"/>
  <c r="O238" i="1"/>
  <c r="P26" i="1"/>
  <c r="N658" i="1"/>
  <c r="O658" i="1" s="1"/>
  <c r="N657" i="1"/>
  <c r="N33" i="1"/>
  <c r="O33" i="1" s="1"/>
  <c r="J131" i="1"/>
  <c r="K131" i="1" s="1"/>
  <c r="K143" i="1"/>
  <c r="M20" i="1"/>
  <c r="P23" i="1"/>
  <c r="M13" i="1"/>
  <c r="M11" i="1" s="1"/>
  <c r="O26" i="1"/>
  <c r="L16" i="1"/>
  <c r="L13" i="1"/>
  <c r="L21" i="1"/>
  <c r="O21" i="1" s="1"/>
  <c r="L20" i="1"/>
  <c r="O23" i="1"/>
  <c r="K174" i="1"/>
  <c r="I164" i="1"/>
  <c r="K164" i="1" s="1"/>
  <c r="L345" i="1"/>
  <c r="O9" i="1"/>
  <c r="O446" i="1"/>
  <c r="L444" i="1"/>
  <c r="O444" i="1" s="1"/>
  <c r="J669" i="1"/>
  <c r="K675" i="1"/>
  <c r="K288" i="1"/>
  <c r="O330" i="1"/>
  <c r="K76" i="1"/>
  <c r="I64" i="1"/>
  <c r="K64" i="1" s="1"/>
  <c r="M132" i="1"/>
  <c r="L31" i="1"/>
  <c r="L467" i="1"/>
  <c r="O121" i="1"/>
  <c r="L119" i="1"/>
  <c r="O119" i="1" s="1"/>
  <c r="K77" i="1"/>
  <c r="I65" i="1"/>
  <c r="K65" i="1" s="1"/>
  <c r="M149" i="1"/>
  <c r="P149" i="1" s="1"/>
  <c r="P68" i="1"/>
  <c r="N66" i="1"/>
  <c r="P66" i="1" s="1"/>
  <c r="O68" i="1"/>
  <c r="L66" i="1"/>
  <c r="K537" i="1"/>
  <c r="J522" i="1"/>
  <c r="K522" i="1" s="1"/>
  <c r="L419" i="1"/>
  <c r="N20" i="1"/>
  <c r="N18" i="1" s="1"/>
  <c r="M414" i="1"/>
  <c r="P414" i="1" s="1"/>
  <c r="N41" i="1"/>
  <c r="P43" i="1"/>
  <c r="P15" i="1"/>
  <c r="M298" i="1"/>
  <c r="P298" i="1" s="1"/>
  <c r="M21" i="1"/>
  <c r="P21" i="1" s="1"/>
  <c r="M9" i="1"/>
  <c r="P12" i="1"/>
  <c r="O20" i="19" l="1"/>
  <c r="P24" i="20"/>
  <c r="P149" i="20"/>
  <c r="O24" i="21"/>
  <c r="P24" i="21"/>
  <c r="P20" i="21"/>
  <c r="O20" i="21"/>
  <c r="P16" i="21"/>
  <c r="P165" i="21"/>
  <c r="P261" i="21"/>
  <c r="P18" i="20"/>
  <c r="N10" i="21"/>
  <c r="N8" i="21" s="1"/>
  <c r="O11" i="21"/>
  <c r="M14" i="21"/>
  <c r="P14" i="21" s="1"/>
  <c r="P11" i="21"/>
  <c r="P328" i="21"/>
  <c r="M37" i="20"/>
  <c r="L414" i="21"/>
  <c r="O53" i="21"/>
  <c r="P53" i="21"/>
  <c r="P88" i="21"/>
  <c r="M37" i="21"/>
  <c r="M18" i="21"/>
  <c r="P18" i="21" s="1"/>
  <c r="P9" i="21"/>
  <c r="O16" i="21"/>
  <c r="L14" i="21"/>
  <c r="O14" i="21" s="1"/>
  <c r="L37" i="21"/>
  <c r="O181" i="21"/>
  <c r="N414" i="21"/>
  <c r="P13" i="21"/>
  <c r="M10" i="21"/>
  <c r="O13" i="21"/>
  <c r="L10" i="21"/>
  <c r="O28" i="21"/>
  <c r="O419" i="21"/>
  <c r="O9" i="21"/>
  <c r="L18" i="21"/>
  <c r="O18" i="21" s="1"/>
  <c r="O30" i="21"/>
  <c r="K226" i="21"/>
  <c r="I180" i="21"/>
  <c r="K180" i="21" s="1"/>
  <c r="N37" i="21"/>
  <c r="P11" i="18"/>
  <c r="P11" i="20"/>
  <c r="N37" i="20"/>
  <c r="I180" i="19"/>
  <c r="K180" i="19" s="1"/>
  <c r="P277" i="20"/>
  <c r="K226" i="20"/>
  <c r="I180" i="20"/>
  <c r="K180" i="20" s="1"/>
  <c r="N10" i="20"/>
  <c r="N8" i="20" s="1"/>
  <c r="P13" i="20"/>
  <c r="O24" i="17"/>
  <c r="O30" i="20"/>
  <c r="L28" i="20"/>
  <c r="O28" i="20" s="1"/>
  <c r="P20" i="20"/>
  <c r="O13" i="20"/>
  <c r="L10" i="20"/>
  <c r="L11" i="20"/>
  <c r="O11" i="20" s="1"/>
  <c r="O53" i="20"/>
  <c r="L37" i="20"/>
  <c r="O20" i="20"/>
  <c r="L18" i="20"/>
  <c r="O18" i="20" s="1"/>
  <c r="O467" i="20"/>
  <c r="N414" i="20"/>
  <c r="P21" i="20"/>
  <c r="O21" i="20"/>
  <c r="P16" i="20"/>
  <c r="M10" i="20"/>
  <c r="P10" i="20" s="1"/>
  <c r="M14" i="20"/>
  <c r="P14" i="20" s="1"/>
  <c r="P16" i="19"/>
  <c r="L14" i="20"/>
  <c r="O14" i="20" s="1"/>
  <c r="P9" i="20"/>
  <c r="L414" i="20"/>
  <c r="O414" i="20" s="1"/>
  <c r="O21" i="15"/>
  <c r="P24" i="18"/>
  <c r="O261" i="18"/>
  <c r="P20" i="18"/>
  <c r="O24" i="19"/>
  <c r="P16" i="18"/>
  <c r="L414" i="19"/>
  <c r="O414" i="19" s="1"/>
  <c r="N8" i="17"/>
  <c r="O18" i="18"/>
  <c r="L18" i="19"/>
  <c r="O18" i="19" s="1"/>
  <c r="M18" i="18"/>
  <c r="P18" i="18" s="1"/>
  <c r="N10" i="19"/>
  <c r="N8" i="19" s="1"/>
  <c r="O9" i="19"/>
  <c r="P345" i="17"/>
  <c r="P20" i="19"/>
  <c r="M18" i="19"/>
  <c r="P18" i="19" s="1"/>
  <c r="L28" i="19"/>
  <c r="O28" i="19" s="1"/>
  <c r="O30" i="19"/>
  <c r="M37" i="18"/>
  <c r="L14" i="16"/>
  <c r="O14" i="16" s="1"/>
  <c r="O24" i="18"/>
  <c r="O13" i="19"/>
  <c r="L10" i="19"/>
  <c r="L8" i="19" s="1"/>
  <c r="P9" i="19"/>
  <c r="M10" i="18"/>
  <c r="M8" i="18" s="1"/>
  <c r="P53" i="19"/>
  <c r="M37" i="19"/>
  <c r="P37" i="19" s="1"/>
  <c r="M14" i="19"/>
  <c r="P14" i="19" s="1"/>
  <c r="O16" i="19"/>
  <c r="L14" i="19"/>
  <c r="O14" i="19" s="1"/>
  <c r="P13" i="19"/>
  <c r="M10" i="19"/>
  <c r="M8" i="19" s="1"/>
  <c r="M11" i="19"/>
  <c r="P11" i="19" s="1"/>
  <c r="L37" i="19"/>
  <c r="O37" i="19" s="1"/>
  <c r="L11" i="19"/>
  <c r="O11" i="19" s="1"/>
  <c r="P24" i="14"/>
  <c r="P277" i="18"/>
  <c r="P13" i="18"/>
  <c r="N10" i="16"/>
  <c r="N8" i="16" s="1"/>
  <c r="O277" i="17"/>
  <c r="O66" i="18"/>
  <c r="O30" i="18"/>
  <c r="L28" i="18"/>
  <c r="O28" i="18" s="1"/>
  <c r="P21" i="15"/>
  <c r="O11" i="18"/>
  <c r="O30" i="17"/>
  <c r="L28" i="17"/>
  <c r="O28" i="17" s="1"/>
  <c r="P277" i="15"/>
  <c r="N11" i="17"/>
  <c r="O11" i="17" s="1"/>
  <c r="O13" i="17"/>
  <c r="O328" i="18"/>
  <c r="O20" i="18"/>
  <c r="N10" i="18"/>
  <c r="N8" i="18" s="1"/>
  <c r="O345" i="18"/>
  <c r="N37" i="18"/>
  <c r="O41" i="18"/>
  <c r="P41" i="18"/>
  <c r="O53" i="18"/>
  <c r="L37" i="18"/>
  <c r="P9" i="18"/>
  <c r="P20" i="14"/>
  <c r="N11" i="14"/>
  <c r="P11" i="14" s="1"/>
  <c r="L414" i="18"/>
  <c r="O414" i="18" s="1"/>
  <c r="O419" i="18"/>
  <c r="K226" i="18"/>
  <c r="I180" i="18"/>
  <c r="K180" i="18" s="1"/>
  <c r="O88" i="17"/>
  <c r="O9" i="18"/>
  <c r="M14" i="18"/>
  <c r="O16" i="18"/>
  <c r="N14" i="18"/>
  <c r="O14" i="18" s="1"/>
  <c r="P119" i="18"/>
  <c r="O119" i="18"/>
  <c r="O13" i="18"/>
  <c r="L10" i="18"/>
  <c r="O13" i="15"/>
  <c r="N37" i="17"/>
  <c r="L10" i="11"/>
  <c r="L8" i="11" s="1"/>
  <c r="O18" i="16"/>
  <c r="P13" i="17"/>
  <c r="M10" i="17"/>
  <c r="P10" i="17" s="1"/>
  <c r="P9" i="17"/>
  <c r="O9" i="17"/>
  <c r="P20" i="17"/>
  <c r="M18" i="17"/>
  <c r="P18" i="17" s="1"/>
  <c r="L10" i="17"/>
  <c r="O10" i="17" s="1"/>
  <c r="O467" i="17"/>
  <c r="M11" i="17"/>
  <c r="O181" i="17"/>
  <c r="O419" i="17"/>
  <c r="L414" i="17"/>
  <c r="O414" i="17" s="1"/>
  <c r="K226" i="17"/>
  <c r="I180" i="17"/>
  <c r="K180" i="17" s="1"/>
  <c r="L37" i="17"/>
  <c r="M14" i="17"/>
  <c r="P14" i="17" s="1"/>
  <c r="P21" i="17"/>
  <c r="M37" i="17"/>
  <c r="O41" i="17"/>
  <c r="O18" i="17"/>
  <c r="L10" i="15"/>
  <c r="L8" i="15" s="1"/>
  <c r="L28" i="16"/>
  <c r="O28" i="16" s="1"/>
  <c r="P41" i="17"/>
  <c r="L14" i="17"/>
  <c r="O14" i="17" s="1"/>
  <c r="O20" i="17"/>
  <c r="L28" i="12"/>
  <c r="O28" i="12" s="1"/>
  <c r="O24" i="15"/>
  <c r="N37" i="16"/>
  <c r="O298" i="14"/>
  <c r="O24" i="14"/>
  <c r="O20" i="14"/>
  <c r="O14" i="15"/>
  <c r="L37" i="16"/>
  <c r="P24" i="16"/>
  <c r="I180" i="13"/>
  <c r="K180" i="13" s="1"/>
  <c r="O20" i="16"/>
  <c r="O14" i="8"/>
  <c r="O24" i="13"/>
  <c r="P24" i="13"/>
  <c r="P24" i="15"/>
  <c r="M14" i="16"/>
  <c r="P14" i="16" s="1"/>
  <c r="O18" i="15"/>
  <c r="P9" i="16"/>
  <c r="P20" i="16"/>
  <c r="M18" i="16"/>
  <c r="P18" i="16" s="1"/>
  <c r="N414" i="16"/>
  <c r="O419" i="16"/>
  <c r="O13" i="16"/>
  <c r="L10" i="16"/>
  <c r="L11" i="16"/>
  <c r="O11" i="16" s="1"/>
  <c r="P13" i="16"/>
  <c r="M10" i="16"/>
  <c r="M11" i="16"/>
  <c r="P11" i="16" s="1"/>
  <c r="M414" i="16"/>
  <c r="P414" i="16" s="1"/>
  <c r="I180" i="16"/>
  <c r="K180" i="16" s="1"/>
  <c r="K226" i="16"/>
  <c r="M37" i="16"/>
  <c r="P41" i="16"/>
  <c r="O9" i="16"/>
  <c r="O523" i="16"/>
  <c r="L414" i="16"/>
  <c r="O414" i="16" s="1"/>
  <c r="N10" i="15"/>
  <c r="N8" i="15" s="1"/>
  <c r="P149" i="13"/>
  <c r="O13" i="14"/>
  <c r="O20" i="15"/>
  <c r="L14" i="14"/>
  <c r="O14" i="14" s="1"/>
  <c r="P53" i="14"/>
  <c r="M8" i="15"/>
  <c r="O16" i="15"/>
  <c r="L37" i="15"/>
  <c r="M37" i="15"/>
  <c r="O9" i="15"/>
  <c r="O28" i="15"/>
  <c r="K226" i="15"/>
  <c r="I180" i="15"/>
  <c r="K180" i="15" s="1"/>
  <c r="P544" i="15"/>
  <c r="M414" i="15"/>
  <c r="P414" i="15" s="1"/>
  <c r="P20" i="15"/>
  <c r="M18" i="15"/>
  <c r="P18" i="15" s="1"/>
  <c r="L414" i="15"/>
  <c r="P21" i="12"/>
  <c r="L28" i="14"/>
  <c r="O28" i="14" s="1"/>
  <c r="O53" i="15"/>
  <c r="N37" i="15"/>
  <c r="O30" i="15"/>
  <c r="N414" i="15"/>
  <c r="P16" i="15"/>
  <c r="M14" i="15"/>
  <c r="P14" i="15" s="1"/>
  <c r="L18" i="14"/>
  <c r="O18" i="14" s="1"/>
  <c r="O66" i="11"/>
  <c r="L10" i="14"/>
  <c r="O10" i="14" s="1"/>
  <c r="M10" i="9"/>
  <c r="M8" i="9" s="1"/>
  <c r="O88" i="10"/>
  <c r="M37" i="14"/>
  <c r="P261" i="9"/>
  <c r="P21" i="13"/>
  <c r="L414" i="14"/>
  <c r="O414" i="14" s="1"/>
  <c r="L37" i="14"/>
  <c r="N37" i="14"/>
  <c r="P53" i="11"/>
  <c r="O88" i="11"/>
  <c r="L11" i="12"/>
  <c r="O11" i="12" s="1"/>
  <c r="K226" i="14"/>
  <c r="I180" i="14"/>
  <c r="K180" i="14" s="1"/>
  <c r="P298" i="14"/>
  <c r="P13" i="12"/>
  <c r="L10" i="12"/>
  <c r="L8" i="12" s="1"/>
  <c r="M18" i="14"/>
  <c r="P18" i="14" s="1"/>
  <c r="P9" i="14"/>
  <c r="P13" i="14"/>
  <c r="M10" i="14"/>
  <c r="P10" i="14" s="1"/>
  <c r="M414" i="14"/>
  <c r="P414" i="14" s="1"/>
  <c r="O18" i="13"/>
  <c r="O20" i="12"/>
  <c r="O21" i="13"/>
  <c r="O13" i="8"/>
  <c r="O30" i="13"/>
  <c r="L28" i="13"/>
  <c r="O28" i="13" s="1"/>
  <c r="O21" i="8"/>
  <c r="L14" i="10"/>
  <c r="O14" i="10" s="1"/>
  <c r="O20" i="13"/>
  <c r="P13" i="13"/>
  <c r="M10" i="13"/>
  <c r="M8" i="13" s="1"/>
  <c r="M414" i="13"/>
  <c r="P414" i="13" s="1"/>
  <c r="N10" i="13"/>
  <c r="N8" i="13" s="1"/>
  <c r="N11" i="13"/>
  <c r="O11" i="13" s="1"/>
  <c r="P20" i="13"/>
  <c r="P16" i="13"/>
  <c r="M14" i="13"/>
  <c r="P14" i="13" s="1"/>
  <c r="O16" i="13"/>
  <c r="L14" i="13"/>
  <c r="O14" i="13" s="1"/>
  <c r="L414" i="13"/>
  <c r="O414" i="13" s="1"/>
  <c r="P261" i="13"/>
  <c r="M37" i="13"/>
  <c r="P37" i="13" s="1"/>
  <c r="L37" i="13"/>
  <c r="O37" i="13" s="1"/>
  <c r="M18" i="13"/>
  <c r="P18" i="13" s="1"/>
  <c r="L10" i="13"/>
  <c r="L8" i="13" s="1"/>
  <c r="O13" i="13"/>
  <c r="O9" i="13"/>
  <c r="P9" i="13"/>
  <c r="P345" i="12"/>
  <c r="O30" i="7"/>
  <c r="L10" i="8"/>
  <c r="L8" i="8" s="1"/>
  <c r="P20" i="12"/>
  <c r="O24" i="12"/>
  <c r="N18" i="12"/>
  <c r="O18" i="12" s="1"/>
  <c r="P24" i="12"/>
  <c r="L37" i="12"/>
  <c r="P88" i="12"/>
  <c r="M37" i="12"/>
  <c r="P16" i="12"/>
  <c r="M14" i="12"/>
  <c r="O9" i="12"/>
  <c r="P345" i="11"/>
  <c r="N37" i="12"/>
  <c r="O53" i="12"/>
  <c r="M10" i="12"/>
  <c r="O132" i="10"/>
  <c r="N10" i="12"/>
  <c r="N8" i="12" s="1"/>
  <c r="N14" i="12"/>
  <c r="O14" i="12" s="1"/>
  <c r="O16" i="12"/>
  <c r="O419" i="12"/>
  <c r="L414" i="12"/>
  <c r="O414" i="12" s="1"/>
  <c r="P9" i="12"/>
  <c r="P14" i="11"/>
  <c r="O24" i="10"/>
  <c r="L414" i="11"/>
  <c r="N37" i="10"/>
  <c r="P328" i="10"/>
  <c r="O24" i="11"/>
  <c r="N30" i="11"/>
  <c r="N31" i="11"/>
  <c r="O31" i="11" s="1"/>
  <c r="O33" i="11"/>
  <c r="K226" i="11"/>
  <c r="I180" i="11"/>
  <c r="K180" i="11" s="1"/>
  <c r="N37" i="11"/>
  <c r="P41" i="11"/>
  <c r="N10" i="11"/>
  <c r="N8" i="11" s="1"/>
  <c r="N11" i="11"/>
  <c r="P11" i="11" s="1"/>
  <c r="P544" i="11"/>
  <c r="M414" i="11"/>
  <c r="P414" i="11" s="1"/>
  <c r="N467" i="11"/>
  <c r="O467" i="11" s="1"/>
  <c r="O469" i="11"/>
  <c r="P16" i="11"/>
  <c r="L37" i="11"/>
  <c r="P20" i="7"/>
  <c r="O21" i="11"/>
  <c r="M10" i="11"/>
  <c r="O419" i="11"/>
  <c r="P13" i="11"/>
  <c r="O18" i="11"/>
  <c r="P9" i="11"/>
  <c r="P24" i="11"/>
  <c r="O20" i="11"/>
  <c r="K593" i="1"/>
  <c r="M37" i="11"/>
  <c r="O16" i="11"/>
  <c r="L14" i="11"/>
  <c r="O14" i="11" s="1"/>
  <c r="O261" i="11"/>
  <c r="P261" i="11"/>
  <c r="M18" i="11"/>
  <c r="P18" i="11" s="1"/>
  <c r="P20" i="11"/>
  <c r="O13" i="11"/>
  <c r="O9" i="11"/>
  <c r="P328" i="11"/>
  <c r="L37" i="9"/>
  <c r="N11" i="8"/>
  <c r="O11" i="8" s="1"/>
  <c r="P24" i="10"/>
  <c r="N37" i="7"/>
  <c r="N37" i="9"/>
  <c r="L37" i="10"/>
  <c r="K226" i="10"/>
  <c r="I180" i="10"/>
  <c r="K180" i="10" s="1"/>
  <c r="N11" i="10"/>
  <c r="P11" i="10" s="1"/>
  <c r="O13" i="10"/>
  <c r="L10" i="10"/>
  <c r="O10" i="10" s="1"/>
  <c r="L11" i="10"/>
  <c r="P9" i="10"/>
  <c r="O20" i="10"/>
  <c r="L18" i="10"/>
  <c r="O18" i="10" s="1"/>
  <c r="P16" i="10"/>
  <c r="M14" i="10"/>
  <c r="P14" i="10" s="1"/>
  <c r="P13" i="10"/>
  <c r="M10" i="10"/>
  <c r="P10" i="10" s="1"/>
  <c r="M37" i="10"/>
  <c r="P24" i="9"/>
  <c r="O53" i="10"/>
  <c r="P53" i="10"/>
  <c r="P20" i="10"/>
  <c r="M18" i="10"/>
  <c r="P18" i="10" s="1"/>
  <c r="O9" i="10"/>
  <c r="O467" i="10"/>
  <c r="L414" i="10"/>
  <c r="O414" i="10" s="1"/>
  <c r="N8" i="10"/>
  <c r="O41" i="9"/>
  <c r="P21" i="8"/>
  <c r="O24" i="6"/>
  <c r="O66" i="8"/>
  <c r="O53" i="9"/>
  <c r="P53" i="9"/>
  <c r="K226" i="9"/>
  <c r="I180" i="9"/>
  <c r="K180" i="9" s="1"/>
  <c r="P66" i="9"/>
  <c r="M37" i="9"/>
  <c r="O16" i="9"/>
  <c r="L14" i="9"/>
  <c r="L414" i="9"/>
  <c r="O414" i="9" s="1"/>
  <c r="N18" i="9"/>
  <c r="P18" i="9" s="1"/>
  <c r="P20" i="9"/>
  <c r="O20" i="9"/>
  <c r="L18" i="9"/>
  <c r="P9" i="9"/>
  <c r="O30" i="9"/>
  <c r="L28" i="9"/>
  <c r="O28" i="9" s="1"/>
  <c r="P16" i="9"/>
  <c r="N14" i="9"/>
  <c r="P14" i="9" s="1"/>
  <c r="L28" i="8"/>
  <c r="O28" i="8" s="1"/>
  <c r="P21" i="9"/>
  <c r="O13" i="9"/>
  <c r="L10" i="9"/>
  <c r="L11" i="9"/>
  <c r="N10" i="9"/>
  <c r="N11" i="9"/>
  <c r="P11" i="9" s="1"/>
  <c r="P13" i="9"/>
  <c r="P41" i="7"/>
  <c r="P16" i="8"/>
  <c r="O16" i="8"/>
  <c r="O41" i="7"/>
  <c r="O53" i="7"/>
  <c r="M37" i="8"/>
  <c r="O328" i="8"/>
  <c r="O165" i="8"/>
  <c r="P345" i="8"/>
  <c r="K226" i="8"/>
  <c r="I180" i="8"/>
  <c r="K180" i="8" s="1"/>
  <c r="P149" i="8"/>
  <c r="O149" i="8"/>
  <c r="M10" i="8"/>
  <c r="P13" i="8"/>
  <c r="M11" i="8"/>
  <c r="P24" i="7"/>
  <c r="L10" i="7"/>
  <c r="L8" i="7" s="1"/>
  <c r="P20" i="8"/>
  <c r="M18" i="8"/>
  <c r="P24" i="8"/>
  <c r="O20" i="8"/>
  <c r="N18" i="8"/>
  <c r="O18" i="8" s="1"/>
  <c r="O13" i="7"/>
  <c r="M14" i="8"/>
  <c r="P14" i="8" s="1"/>
  <c r="L414" i="8"/>
  <c r="O414" i="8" s="1"/>
  <c r="O53" i="8"/>
  <c r="L37" i="8"/>
  <c r="N37" i="8"/>
  <c r="N10" i="8"/>
  <c r="N8" i="8" s="1"/>
  <c r="O20" i="7"/>
  <c r="L28" i="5"/>
  <c r="O28" i="5" s="1"/>
  <c r="P13" i="6"/>
  <c r="L37" i="7"/>
  <c r="O24" i="7"/>
  <c r="O11" i="7"/>
  <c r="O16" i="7"/>
  <c r="L14" i="7"/>
  <c r="P9" i="7"/>
  <c r="M8" i="7"/>
  <c r="M37" i="7"/>
  <c r="N10" i="7"/>
  <c r="P10" i="7" s="1"/>
  <c r="P13" i="7"/>
  <c r="P11" i="7"/>
  <c r="N14" i="7"/>
  <c r="P14" i="7" s="1"/>
  <c r="P16" i="7"/>
  <c r="K226" i="7"/>
  <c r="I180" i="7"/>
  <c r="K180" i="7" s="1"/>
  <c r="L414" i="7"/>
  <c r="O414" i="7" s="1"/>
  <c r="N18" i="7"/>
  <c r="P18" i="7" s="1"/>
  <c r="L28" i="6"/>
  <c r="O28" i="6" s="1"/>
  <c r="P119" i="6"/>
  <c r="P165" i="6"/>
  <c r="L14" i="3"/>
  <c r="O14" i="3" s="1"/>
  <c r="O21" i="3"/>
  <c r="M37" i="4"/>
  <c r="O21" i="6"/>
  <c r="N37" i="6"/>
  <c r="N10" i="6"/>
  <c r="N8" i="6" s="1"/>
  <c r="N11" i="6"/>
  <c r="O11" i="6" s="1"/>
  <c r="O13" i="6"/>
  <c r="L10" i="6"/>
  <c r="L8" i="6" s="1"/>
  <c r="O16" i="6"/>
  <c r="L14" i="6"/>
  <c r="O14" i="6" s="1"/>
  <c r="O20" i="6"/>
  <c r="L18" i="6"/>
  <c r="O18" i="6" s="1"/>
  <c r="O419" i="6"/>
  <c r="L414" i="6"/>
  <c r="O414" i="6" s="1"/>
  <c r="O41" i="6"/>
  <c r="L37" i="6"/>
  <c r="K226" i="6"/>
  <c r="I180" i="6"/>
  <c r="K180" i="6" s="1"/>
  <c r="P20" i="6"/>
  <c r="M18" i="6"/>
  <c r="P18" i="6" s="1"/>
  <c r="M37" i="6"/>
  <c r="P16" i="6"/>
  <c r="M14" i="6"/>
  <c r="P14" i="6" s="1"/>
  <c r="O9" i="6"/>
  <c r="M10" i="6"/>
  <c r="N37" i="3"/>
  <c r="L28" i="3"/>
  <c r="O28" i="3" s="1"/>
  <c r="P181" i="5"/>
  <c r="P41" i="3"/>
  <c r="P298" i="5"/>
  <c r="P21" i="5"/>
  <c r="K559" i="1"/>
  <c r="L37" i="5"/>
  <c r="M37" i="5"/>
  <c r="L14" i="5"/>
  <c r="O14" i="5" s="1"/>
  <c r="N11" i="5"/>
  <c r="L414" i="5"/>
  <c r="O414" i="5" s="1"/>
  <c r="P13" i="5"/>
  <c r="M10" i="5"/>
  <c r="P10" i="5" s="1"/>
  <c r="N37" i="5"/>
  <c r="O88" i="5"/>
  <c r="P277" i="3"/>
  <c r="O20" i="5"/>
  <c r="L18" i="5"/>
  <c r="O18" i="5" s="1"/>
  <c r="O24" i="3"/>
  <c r="O165" i="3"/>
  <c r="O53" i="4"/>
  <c r="P9" i="5"/>
  <c r="I180" i="5"/>
  <c r="K180" i="5" s="1"/>
  <c r="K226" i="5"/>
  <c r="P20" i="5"/>
  <c r="O21" i="5"/>
  <c r="O9" i="5"/>
  <c r="N8" i="5"/>
  <c r="O13" i="5"/>
  <c r="L10" i="5"/>
  <c r="O10" i="5" s="1"/>
  <c r="L11" i="5"/>
  <c r="P18" i="5"/>
  <c r="P20" i="4"/>
  <c r="M11" i="5"/>
  <c r="M14" i="5"/>
  <c r="P14" i="5" s="1"/>
  <c r="P24" i="5"/>
  <c r="P21" i="3"/>
  <c r="O41" i="3"/>
  <c r="P24" i="3"/>
  <c r="O298" i="3"/>
  <c r="O20" i="4"/>
  <c r="P66" i="3"/>
  <c r="P16" i="1"/>
  <c r="O24" i="4"/>
  <c r="N11" i="4"/>
  <c r="N10" i="4"/>
  <c r="N8" i="4" s="1"/>
  <c r="O523" i="4"/>
  <c r="L414" i="4"/>
  <c r="O414" i="4" s="1"/>
  <c r="L18" i="4"/>
  <c r="O18" i="4" s="1"/>
  <c r="P277" i="4"/>
  <c r="O277" i="4"/>
  <c r="P16" i="4"/>
  <c r="M14" i="4"/>
  <c r="P14" i="4" s="1"/>
  <c r="P132" i="1"/>
  <c r="P21" i="4"/>
  <c r="M18" i="4"/>
  <c r="P18" i="4" s="1"/>
  <c r="N37" i="4"/>
  <c r="I180" i="4"/>
  <c r="K180" i="4" s="1"/>
  <c r="K226" i="4"/>
  <c r="O13" i="4"/>
  <c r="L10" i="4"/>
  <c r="O16" i="4"/>
  <c r="L14" i="4"/>
  <c r="O14" i="4" s="1"/>
  <c r="O9" i="4"/>
  <c r="P9" i="4"/>
  <c r="M10" i="4"/>
  <c r="M8" i="4" s="1"/>
  <c r="P13" i="4"/>
  <c r="P544" i="4"/>
  <c r="M414" i="4"/>
  <c r="P414" i="4" s="1"/>
  <c r="L28" i="4"/>
  <c r="O28" i="4" s="1"/>
  <c r="L11" i="4"/>
  <c r="M11" i="4"/>
  <c r="L37" i="4"/>
  <c r="L414" i="2"/>
  <c r="O414" i="2" s="1"/>
  <c r="O419" i="2"/>
  <c r="M14" i="2"/>
  <c r="P14" i="2" s="1"/>
  <c r="P20" i="3"/>
  <c r="M18" i="3"/>
  <c r="P18" i="3" s="1"/>
  <c r="N11" i="3"/>
  <c r="L37" i="3"/>
  <c r="O66" i="3"/>
  <c r="P9" i="3"/>
  <c r="O13" i="3"/>
  <c r="L10" i="3"/>
  <c r="L11" i="3"/>
  <c r="N13" i="1"/>
  <c r="N11" i="1" s="1"/>
  <c r="P11" i="1" s="1"/>
  <c r="K226" i="3"/>
  <c r="I180" i="3"/>
  <c r="K180" i="3" s="1"/>
  <c r="O419" i="3"/>
  <c r="L414" i="3"/>
  <c r="O414" i="3" s="1"/>
  <c r="M37" i="3"/>
  <c r="M14" i="3"/>
  <c r="P14" i="3" s="1"/>
  <c r="O20" i="3"/>
  <c r="L18" i="3"/>
  <c r="O18" i="3" s="1"/>
  <c r="P13" i="3"/>
  <c r="M10" i="3"/>
  <c r="P10" i="3" s="1"/>
  <c r="M11" i="3"/>
  <c r="N8" i="3"/>
  <c r="O469" i="1"/>
  <c r="P20" i="1"/>
  <c r="M37" i="2"/>
  <c r="N37" i="2"/>
  <c r="P41" i="2"/>
  <c r="O41" i="2"/>
  <c r="O421" i="1"/>
  <c r="O467" i="1"/>
  <c r="P24" i="2"/>
  <c r="L37" i="2"/>
  <c r="L14" i="2"/>
  <c r="O14" i="2" s="1"/>
  <c r="P9" i="2"/>
  <c r="K226" i="2"/>
  <c r="I180" i="2"/>
  <c r="K180" i="2" s="1"/>
  <c r="L28" i="2"/>
  <c r="O28" i="2" s="1"/>
  <c r="O66" i="1"/>
  <c r="P13" i="2"/>
  <c r="M10" i="2"/>
  <c r="M8" i="2" s="1"/>
  <c r="M11" i="2"/>
  <c r="O21" i="2"/>
  <c r="N10" i="2"/>
  <c r="N8" i="2" s="1"/>
  <c r="N11" i="2"/>
  <c r="P20" i="2"/>
  <c r="M18" i="2"/>
  <c r="P18" i="2" s="1"/>
  <c r="O13" i="2"/>
  <c r="L10" i="2"/>
  <c r="L11" i="2"/>
  <c r="M414" i="2"/>
  <c r="P414" i="2" s="1"/>
  <c r="O20" i="2"/>
  <c r="L18" i="2"/>
  <c r="O18" i="2" s="1"/>
  <c r="O523" i="1"/>
  <c r="O525" i="1"/>
  <c r="N786" i="1"/>
  <c r="O786" i="1" s="1"/>
  <c r="P24" i="1"/>
  <c r="O345" i="1"/>
  <c r="K226" i="1"/>
  <c r="I180" i="1"/>
  <c r="K180" i="1" s="1"/>
  <c r="O631" i="1"/>
  <c r="N629" i="1"/>
  <c r="O629" i="1" s="1"/>
  <c r="O227" i="1"/>
  <c r="L10" i="1"/>
  <c r="L11" i="1"/>
  <c r="O16" i="1"/>
  <c r="L14" i="1"/>
  <c r="O14" i="1" s="1"/>
  <c r="P9" i="1"/>
  <c r="N30" i="1"/>
  <c r="N28" i="1" s="1"/>
  <c r="O28" i="1" s="1"/>
  <c r="N31" i="1"/>
  <c r="O31" i="1" s="1"/>
  <c r="M18" i="1"/>
  <c r="P18" i="1" s="1"/>
  <c r="N37" i="1"/>
  <c r="P41" i="1"/>
  <c r="M10" i="1"/>
  <c r="O657" i="1"/>
  <c r="N655" i="1"/>
  <c r="J654" i="1"/>
  <c r="K654" i="1" s="1"/>
  <c r="K669" i="1"/>
  <c r="L414" i="1"/>
  <c r="O419" i="1"/>
  <c r="P53" i="1"/>
  <c r="M37" i="1"/>
  <c r="O20" i="1"/>
  <c r="L18" i="1"/>
  <c r="O18" i="1" s="1"/>
  <c r="L37" i="1"/>
  <c r="O41" i="1"/>
  <c r="P8" i="15" l="1"/>
  <c r="P10" i="21"/>
  <c r="O37" i="20"/>
  <c r="P37" i="20"/>
  <c r="O10" i="21"/>
  <c r="M8" i="20"/>
  <c r="P8" i="20" s="1"/>
  <c r="L8" i="21"/>
  <c r="O8" i="21" s="1"/>
  <c r="O414" i="21"/>
  <c r="P8" i="19"/>
  <c r="O37" i="21"/>
  <c r="P37" i="21"/>
  <c r="O37" i="6"/>
  <c r="M8" i="21"/>
  <c r="P8" i="21" s="1"/>
  <c r="O10" i="20"/>
  <c r="L8" i="20"/>
  <c r="O8" i="20" s="1"/>
  <c r="P37" i="16"/>
  <c r="P11" i="17"/>
  <c r="P10" i="19"/>
  <c r="P10" i="18"/>
  <c r="P10" i="16"/>
  <c r="O11" i="14"/>
  <c r="O10" i="16"/>
  <c r="O8" i="19"/>
  <c r="O10" i="18"/>
  <c r="O10" i="19"/>
  <c r="P37" i="18"/>
  <c r="P8" i="18"/>
  <c r="L8" i="18"/>
  <c r="O8" i="18" s="1"/>
  <c r="O37" i="18"/>
  <c r="P14" i="18"/>
  <c r="P37" i="17"/>
  <c r="L8" i="16"/>
  <c r="O8" i="16" s="1"/>
  <c r="O37" i="17"/>
  <c r="M8" i="17"/>
  <c r="P8" i="17" s="1"/>
  <c r="L8" i="17"/>
  <c r="O8" i="17" s="1"/>
  <c r="O37" i="16"/>
  <c r="O8" i="15"/>
  <c r="P37" i="14"/>
  <c r="P10" i="15"/>
  <c r="L8" i="14"/>
  <c r="O8" i="14" s="1"/>
  <c r="O37" i="15"/>
  <c r="O10" i="15"/>
  <c r="M8" i="16"/>
  <c r="P8" i="16" s="1"/>
  <c r="P18" i="12"/>
  <c r="P37" i="15"/>
  <c r="O414" i="15"/>
  <c r="O37" i="14"/>
  <c r="P37" i="10"/>
  <c r="M8" i="14"/>
  <c r="P8" i="14" s="1"/>
  <c r="P10" i="12"/>
  <c r="P11" i="13"/>
  <c r="O8" i="13"/>
  <c r="O10" i="13"/>
  <c r="P10" i="13"/>
  <c r="P8" i="13"/>
  <c r="P14" i="12"/>
  <c r="O37" i="9"/>
  <c r="O10" i="12"/>
  <c r="O8" i="12"/>
  <c r="O37" i="12"/>
  <c r="M8" i="12"/>
  <c r="P8" i="12" s="1"/>
  <c r="P37" i="12"/>
  <c r="O37" i="10"/>
  <c r="P10" i="11"/>
  <c r="O8" i="11"/>
  <c r="O37" i="11"/>
  <c r="P37" i="11"/>
  <c r="O10" i="11"/>
  <c r="N414" i="11"/>
  <c r="O414" i="11" s="1"/>
  <c r="O11" i="11"/>
  <c r="M8" i="11"/>
  <c r="P8" i="11" s="1"/>
  <c r="N28" i="11"/>
  <c r="O28" i="11" s="1"/>
  <c r="O30" i="11"/>
  <c r="P11" i="8"/>
  <c r="P37" i="9"/>
  <c r="L8" i="10"/>
  <c r="O8" i="10" s="1"/>
  <c r="P37" i="7"/>
  <c r="O37" i="7"/>
  <c r="M8" i="10"/>
  <c r="P8" i="10" s="1"/>
  <c r="O11" i="10"/>
  <c r="O14" i="9"/>
  <c r="P10" i="9"/>
  <c r="N8" i="9"/>
  <c r="P8" i="9" s="1"/>
  <c r="O11" i="9"/>
  <c r="O10" i="9"/>
  <c r="L8" i="9"/>
  <c r="O37" i="8"/>
  <c r="O18" i="9"/>
  <c r="P37" i="8"/>
  <c r="O10" i="8"/>
  <c r="O18" i="7"/>
  <c r="P18" i="8"/>
  <c r="P10" i="8"/>
  <c r="M8" i="8"/>
  <c r="P8" i="8" s="1"/>
  <c r="O8" i="8"/>
  <c r="O14" i="7"/>
  <c r="P37" i="5"/>
  <c r="N8" i="7"/>
  <c r="O8" i="7" s="1"/>
  <c r="O10" i="7"/>
  <c r="O37" i="5"/>
  <c r="P37" i="6"/>
  <c r="P37" i="4"/>
  <c r="P11" i="6"/>
  <c r="P10" i="6"/>
  <c r="M8" i="6"/>
  <c r="P8" i="6" s="1"/>
  <c r="O8" i="6"/>
  <c r="O10" i="6"/>
  <c r="P37" i="3"/>
  <c r="O37" i="4"/>
  <c r="O37" i="3"/>
  <c r="L8" i="5"/>
  <c r="O8" i="5" s="1"/>
  <c r="O11" i="5"/>
  <c r="P11" i="5"/>
  <c r="P37" i="2"/>
  <c r="M8" i="5"/>
  <c r="P8" i="5" s="1"/>
  <c r="P8" i="4"/>
  <c r="P10" i="4"/>
  <c r="O10" i="4"/>
  <c r="L8" i="4"/>
  <c r="O8" i="4" s="1"/>
  <c r="P11" i="4"/>
  <c r="O11" i="4"/>
  <c r="O13" i="1"/>
  <c r="M8" i="3"/>
  <c r="P8" i="3" s="1"/>
  <c r="N10" i="1"/>
  <c r="N8" i="1" s="1"/>
  <c r="P13" i="1"/>
  <c r="P11" i="3"/>
  <c r="O11" i="3"/>
  <c r="O10" i="3"/>
  <c r="L8" i="3"/>
  <c r="O8" i="3" s="1"/>
  <c r="O37" i="2"/>
  <c r="O11" i="1"/>
  <c r="O10" i="2"/>
  <c r="L8" i="2"/>
  <c r="O8" i="2" s="1"/>
  <c r="O11" i="2"/>
  <c r="P11" i="2"/>
  <c r="P10" i="2"/>
  <c r="P8" i="2"/>
  <c r="O30" i="1"/>
  <c r="O37" i="1"/>
  <c r="M8" i="1"/>
  <c r="O655" i="1"/>
  <c r="N414" i="1"/>
  <c r="O414" i="1" s="1"/>
  <c r="L8" i="1"/>
  <c r="P37" i="1"/>
  <c r="O8" i="9" l="1"/>
  <c r="P8" i="7"/>
  <c r="P10" i="1"/>
  <c r="O10" i="1"/>
  <c r="P8" i="1"/>
  <c r="O8" i="1"/>
</calcChain>
</file>

<file path=xl/sharedStrings.xml><?xml version="1.0" encoding="utf-8"?>
<sst xmlns="http://schemas.openxmlformats.org/spreadsheetml/2006/main" count="32640" uniqueCount="360">
  <si>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</si>
  <si>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</si>
  <si>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</si>
  <si>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</si>
  <si>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</si>
  <si>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</si>
  <si>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</si>
  <si>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</si>
  <si>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</si>
  <si>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</si>
  <si>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</si>
  <si>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</si>
  <si>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</si>
  <si>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</si>
  <si>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</si>
  <si>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</si>
  <si>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</si>
  <si>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</si>
  <si>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</si>
  <si>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</si>
  <si>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</si>
  <si>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</si>
  <si>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</si>
  <si>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</si>
  <si>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</si>
  <si>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</si>
  <si>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</si>
  <si>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</si>
  <si>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</si>
  <si>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</si>
  <si>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</si>
  <si>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</si>
  <si>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</si>
  <si>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</si>
  <si>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</si>
  <si>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</si>
  <si>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</si>
  <si>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</si>
  <si>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</si>
  <si>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</si>
  <si>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</si>
  <si>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</si>
  <si>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</si>
  <si>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</si>
  <si>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</si>
  <si>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</si>
  <si>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</si>
  <si>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</si>
  <si>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</si>
  <si>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</si>
  <si>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</si>
  <si>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</si>
  <si>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</si>
  <si>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</si>
  <si>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</si>
  <si>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</si>
  <si>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</si>
  <si>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</si>
  <si>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</si>
  <si>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</si>
  <si>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</si>
  <si>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</si>
  <si>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</si>
  <si>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</si>
  <si>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</si>
  <si>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</si>
  <si>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</si>
  <si>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</si>
  <si>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</si>
  <si>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</si>
  <si>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</si>
  <si>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</si>
  <si>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</si>
  <si>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</si>
  <si>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</si>
  <si>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</si>
  <si>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</si>
  <si>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</si>
  <si>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</si>
  <si>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</si>
  <si>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</si>
  <si>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</si>
  <si>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</si>
  <si>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</si>
  <si>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</si>
  <si>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</si>
  <si>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</si>
  <si>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</si>
  <si>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</si>
  <si>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</si>
  <si>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</si>
  <si>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</si>
  <si>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</si>
  <si>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</si>
  <si>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</si>
  <si>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</si>
  <si>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</si>
  <si>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</si>
  <si>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</si>
  <si>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</si>
  <si>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</si>
  <si>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</si>
  <si>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</si>
  <si>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</si>
  <si>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</si>
  <si>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</si>
  <si>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</si>
  <si>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</si>
  <si>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</si>
  <si>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</si>
  <si>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</si>
  <si>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</si>
  <si>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</si>
  <si>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</si>
  <si>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</si>
  <si>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</si>
  <si>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</si>
  <si>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</si>
  <si>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</si>
  <si>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</si>
  <si>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</si>
  <si>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</si>
  <si>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</si>
  <si>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</si>
  <si>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</si>
  <si>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</si>
  <si>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</si>
  <si>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</si>
  <si>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</si>
  <si>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</si>
  <si>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</si>
  <si>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</si>
  <si>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</si>
  <si>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</si>
  <si>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</si>
  <si>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</si>
  <si>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</si>
  <si>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</si>
  <si>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</si>
  <si>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</si>
  <si>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</si>
  <si>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</si>
  <si>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</si>
  <si>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</si>
  <si>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</si>
  <si>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</si>
  <si>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</si>
  <si>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</si>
  <si>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</si>
  <si>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</si>
  <si>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</si>
  <si>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</si>
  <si>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</si>
  <si>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</si>
  <si>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</si>
  <si>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</si>
  <si>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</si>
  <si>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</si>
  <si>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</si>
  <si>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</si>
  <si>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</si>
  <si>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</si>
  <si>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</si>
  <si>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</si>
  <si>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</si>
  <si>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</si>
  <si>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</si>
  <si>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</si>
  <si>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</si>
  <si>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</si>
  <si>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t>งานพิพาท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</si>
  <si>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</si>
  <si>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</si>
  <si>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</si>
  <si>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</si>
  <si>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</si>
  <si>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</si>
  <si>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</si>
  <si>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</si>
  <si>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</si>
  <si>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</si>
  <si>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</si>
  <si>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</si>
  <si>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</si>
  <si>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</si>
  <si>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</si>
  <si>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</si>
  <si>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</si>
  <si>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</si>
  <si>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</si>
  <si>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</si>
  <si>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</si>
  <si>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</si>
  <si>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</si>
  <si>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</si>
  <si>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</si>
  <si>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</si>
  <si>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</si>
  <si>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</si>
  <si>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</si>
  <si>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</si>
  <si>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</si>
  <si>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</si>
  <si>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</si>
  <si>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</si>
  <si>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</si>
  <si>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</si>
  <si>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</si>
  <si>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</si>
  <si>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</si>
  <si>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</si>
  <si>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</si>
  <si>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</si>
  <si>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</si>
  <si>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</si>
  <si>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</si>
  <si>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</si>
  <si>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</si>
  <si>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</si>
  <si>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</si>
  <si>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</si>
  <si>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</si>
  <si>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</si>
  <si>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</si>
  <si>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</si>
  <si>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</si>
  <si>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</si>
  <si>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</si>
  <si>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</si>
  <si>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</si>
  <si>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</si>
  <si>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</si>
  <si>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</si>
  <si>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</si>
  <si>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</si>
  <si>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</si>
  <si>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</si>
  <si>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</si>
  <si>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</si>
  <si>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</si>
  <si>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</si>
  <si>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</si>
  <si>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</si>
  <si>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</si>
  <si>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</si>
  <si>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</si>
  <si>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</si>
  <si>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</si>
  <si>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</si>
  <si>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</si>
  <si>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</si>
  <si>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</si>
  <si>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</si>
  <si>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</si>
  <si>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</si>
  <si>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</si>
  <si>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</si>
  <si>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</si>
  <si>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</si>
  <si>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</si>
  <si>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</si>
  <si>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</si>
  <si>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</si>
  <si>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</si>
  <si>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</si>
  <si>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</si>
  <si>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</si>
  <si>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</si>
  <si>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</si>
  <si>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</si>
  <si>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</si>
  <si>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</si>
  <si>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</si>
  <si>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</si>
  <si>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</si>
  <si>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</si>
  <si>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</si>
  <si>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</si>
  <si>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</si>
  <si>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</si>
  <si>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</si>
  <si>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</si>
  <si>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</si>
  <si>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</si>
  <si>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</si>
  <si>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</si>
  <si>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</si>
  <si>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</si>
  <si>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</si>
  <si>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</si>
  <si>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</si>
  <si>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</si>
  <si>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</si>
  <si>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</si>
  <si>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</si>
  <si>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</si>
  <si>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</si>
  <si>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</si>
  <si>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</si>
  <si>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</si>
  <si>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</si>
  <si>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</si>
  <si>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</si>
  <si>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</si>
  <si>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</si>
  <si>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</si>
  <si>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</si>
  <si>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</si>
  <si>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</si>
  <si>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</si>
  <si>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</si>
  <si>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</si>
  <si>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</si>
  <si>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</si>
  <si>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</si>
  <si>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</si>
  <si>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</si>
  <si>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</si>
  <si>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</si>
  <si>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</si>
  <si>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</si>
  <si>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</si>
  <si>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</si>
  <si>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</si>
  <si>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</si>
  <si>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</si>
  <si>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</si>
  <si>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</si>
  <si>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</si>
  <si>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</si>
  <si>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ข้อมูล ณ วันที่ 15 กุมภาพันธ์ 2566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</si>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</sst>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6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13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1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3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5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6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7" fillId="2" borderId="11" xfId="0" applyFont="1" applyFill="1" applyBorder="1" applyAlignment="1"/>
    <xf numFmtId="187" fontId="58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59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0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1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2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3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5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6" fillId="2" borderId="10" xfId="0" applyFont="1" applyFill="1" applyBorder="1" applyAlignment="1"/>
    <xf numFmtId="0" fontId="9" fillId="2" borderId="10" xfId="0" applyFont="1" applyFill="1" applyBorder="1" applyAlignment="1"/>
    <xf numFmtId="0" fontId="67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3" fillId="2" borderId="10" xfId="0" applyFont="1" applyFill="1" applyBorder="1" applyAlignment="1"/>
    <xf numFmtId="0" fontId="4" fillId="0" borderId="5" xfId="0" applyFont="1" applyBorder="1" applyAlignment="1"/>
    <xf numFmtId="0" fontId="68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69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0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5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2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1" borderId="0" xfId="0" quotePrefix="1" applyFont="1" applyFill="1" applyAlignment="1"/>
    <xf numFmtId="0" fontId="5" fillId="21" borderId="13" xfId="0" quotePrefix="1" applyFont="1" applyFill="1" applyBorder="1" applyAlignment="1"/>
    <xf numFmtId="187" fontId="54" fillId="21" borderId="10" xfId="0" applyNumberFormat="1" applyFont="1" applyFill="1" applyBorder="1" applyAlignment="1"/>
    <xf numFmtId="187" fontId="54" fillId="21" borderId="10" xfId="0" quotePrefix="1" applyNumberFormat="1" applyFont="1" applyFill="1" applyBorder="1" applyAlignment="1"/>
    <xf numFmtId="0" fontId="59" fillId="21" borderId="10" xfId="0" quotePrefix="1" applyFont="1" applyFill="1" applyBorder="1" applyAlignment="1"/>
    <xf numFmtId="0" fontId="54" fillId="21" borderId="10" xfId="0" quotePrefix="1" applyFont="1" applyFill="1" applyBorder="1" applyAlignment="1"/>
    <xf numFmtId="0" fontId="54" fillId="21" borderId="10" xfId="0" applyFont="1" applyFill="1" applyBorder="1" applyAlignment="1"/>
    <xf numFmtId="0" fontId="59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187" fontId="59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  <xf numFmtId="0" fontId="54" fillId="2" borderId="10" xfId="0" applyFont="1" applyFill="1" applyBorder="1" applyAlignment="1"/>
    <xf numFmtId="0" fontId="3" fillId="0" borderId="10" xfId="0" applyFont="1" applyBorder="1"/>
    <xf numFmtId="0" fontId="64" fillId="2" borderId="13" xfId="0" applyFont="1" applyFill="1" applyBorder="1" applyAlignment="1"/>
    <xf numFmtId="0" fontId="3" fillId="0" borderId="13" xfId="0" applyFont="1" applyBorder="1"/>
    <xf numFmtId="0" fontId="71" fillId="2" borderId="10" xfId="0" applyFont="1" applyFill="1" applyBorder="1" applyAlignment="1"/>
    <xf numFmtId="0" fontId="59" fillId="2" borderId="10" xfId="0" applyFont="1" applyFill="1" applyBorder="1" applyAlignment="1"/>
    <xf numFmtId="0" fontId="1" fillId="16" borderId="10" xfId="0" applyFont="1" applyFill="1" applyBorder="1" applyAlignment="1"/>
    <xf numFmtId="0" fontId="3" fillId="0" borderId="11" xfId="0" applyFont="1" applyBorder="1"/>
    <xf numFmtId="0" fontId="52" fillId="2" borderId="13" xfId="0" applyFont="1" applyFill="1" applyBorder="1" applyAlignment="1"/>
    <xf numFmtId="0" fontId="1" fillId="8" borderId="5" xfId="0" applyFont="1" applyFill="1" applyBorder="1" applyAlignment="1"/>
    <xf numFmtId="0" fontId="3" fillId="0" borderId="1" xfId="0" applyFont="1" applyBorder="1"/>
    <xf numFmtId="0" fontId="3" fillId="0" borderId="4" xfId="0" applyFont="1" applyBorder="1"/>
    <xf numFmtId="0" fontId="1" fillId="13" borderId="10" xfId="0" applyFont="1" applyFill="1" applyBorder="1" applyAlignment="1"/>
    <xf numFmtId="0" fontId="1" fillId="15" borderId="5" xfId="0" applyFont="1" applyFill="1" applyBorder="1" applyAlignment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60" fillId="2" borderId="10" xfId="0" applyFont="1" applyFill="1" applyBorder="1" applyAlignment="1"/>
    <xf numFmtId="0" fontId="5" fillId="2" borderId="13" xfId="0" applyFont="1" applyFill="1" applyBorder="1" applyAlignment="1"/>
    <xf numFmtId="0" fontId="54" fillId="2" borderId="13" xfId="0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Normal="100" zoomScaleSheetLayoutView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9.85546875" customWidth="1"/>
    <col min="10" max="10" width="19.140625" customWidth="1"/>
    <col min="11" max="11" width="12.5703125" customWidth="1"/>
    <col min="12" max="12" width="24.7109375" bestFit="1" customWidth="1"/>
    <col min="13" max="14" width="23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1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75152916.400000006</v>
      </c>
      <c r="N8" s="22">
        <f t="shared" ca="1" si="0"/>
        <v>54317209.039999992</v>
      </c>
      <c r="O8" s="22">
        <f t="shared" ref="O8:O16" ca="1" si="1">IF(L8&gt;0,N8*100/L8,0)</f>
        <v>35.208880799764401</v>
      </c>
      <c r="P8" s="22">
        <f t="shared" ref="P8:P16" ca="1" si="2">IF(M8&gt;0,N8*100/M8,0)</f>
        <v>72.27558375898235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75152916.400000006</v>
      </c>
      <c r="N10" s="30">
        <f t="shared" ca="1" si="4"/>
        <v>54317209.039999992</v>
      </c>
      <c r="O10" s="30">
        <f t="shared" ca="1" si="1"/>
        <v>35.208880799764401</v>
      </c>
      <c r="P10" s="30">
        <f t="shared" ca="1" si="2"/>
        <v>72.27558375898235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61841804.399999999</v>
      </c>
      <c r="N11" s="38">
        <f t="shared" ca="1" si="5"/>
        <v>44805717.229999989</v>
      </c>
      <c r="O11" s="38">
        <f t="shared" ca="1" si="1"/>
        <v>31.992856299836657</v>
      </c>
      <c r="P11" s="38">
        <f t="shared" ca="1" si="2"/>
        <v>72.452150555296527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61841804.399999999</v>
      </c>
      <c r="N13" s="45">
        <f t="shared" ca="1" si="7"/>
        <v>44805717.229999989</v>
      </c>
      <c r="O13" s="45">
        <f t="shared" ca="1" si="1"/>
        <v>31.992856299836657</v>
      </c>
      <c r="P13" s="45">
        <f t="shared" ca="1" si="2"/>
        <v>72.452150555296527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13311112</v>
      </c>
      <c r="N14" s="38">
        <f t="shared" ca="1" si="8"/>
        <v>9511491.8099999987</v>
      </c>
      <c r="O14" s="38">
        <f t="shared" ca="1" si="1"/>
        <v>66.877781285595745</v>
      </c>
      <c r="P14" s="38">
        <f t="shared" ca="1" si="2"/>
        <v>71.455275937878056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13311112</v>
      </c>
      <c r="N16" s="52">
        <f t="shared" ca="1" si="10"/>
        <v>9511491.8099999987</v>
      </c>
      <c r="O16" s="52">
        <f t="shared" ca="1" si="1"/>
        <v>66.877781285595745</v>
      </c>
      <c r="P16" s="52">
        <f t="shared" ca="1" si="2"/>
        <v>71.455275937878056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75152916.400000006</v>
      </c>
      <c r="N18" s="22">
        <f t="shared" ca="1" si="11"/>
        <v>41836070.209999979</v>
      </c>
      <c r="O18" s="22">
        <f t="shared" ref="O18:O26" ca="1" si="12">IF(L18&gt;0,N18*100/L18,0)</f>
        <v>41.603403177728531</v>
      </c>
      <c r="P18" s="22">
        <f t="shared" ref="P18:P26" ca="1" si="13">IF(M18&gt;0,N18*100/M18,0)</f>
        <v>55.66792642793564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75152916.400000006</v>
      </c>
      <c r="N20" s="30">
        <f t="shared" ca="1" si="15"/>
        <v>41836070.209999979</v>
      </c>
      <c r="O20" s="30">
        <f t="shared" ca="1" si="12"/>
        <v>41.603403177728531</v>
      </c>
      <c r="P20" s="30">
        <f t="shared" ca="1" si="13"/>
        <v>55.66792642793564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61841804.399999999</v>
      </c>
      <c r="N21" s="38">
        <f t="shared" ca="1" si="16"/>
        <v>32324578.399999984</v>
      </c>
      <c r="O21" s="38">
        <f t="shared" ca="1" si="12"/>
        <v>37.439984803742988</v>
      </c>
      <c r="P21" s="38">
        <f t="shared" ca="1" si="13"/>
        <v>52.269785323404932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61841804.399999999</v>
      </c>
      <c r="N23" s="45">
        <f ca="1">N46+N58+N71+N93+N124+N137+N154+N186+N170+N266+N282+N303+N320+N333+N350+N394+N407</f>
        <v>32324578.399999984</v>
      </c>
      <c r="O23" s="45">
        <f t="shared" ca="1" si="12"/>
        <v>37.439984803742988</v>
      </c>
      <c r="P23" s="45">
        <f t="shared" ca="1" si="13"/>
        <v>52.269785323404932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13311112</v>
      </c>
      <c r="N24" s="38">
        <f t="shared" ca="1" si="18"/>
        <v>9511491.8099999987</v>
      </c>
      <c r="O24" s="38">
        <f t="shared" ca="1" si="12"/>
        <v>66.877781285595745</v>
      </c>
      <c r="P24" s="38">
        <f t="shared" ca="1" si="13"/>
        <v>71.455275937878056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13311112</v>
      </c>
      <c r="N26" s="52">
        <f t="shared" ca="1" si="20"/>
        <v>9511491.8099999987</v>
      </c>
      <c r="O26" s="52">
        <f t="shared" ca="1" si="12"/>
        <v>66.877781285595745</v>
      </c>
      <c r="P26" s="52">
        <f t="shared" ca="1" si="13"/>
        <v>71.455275937878056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si="21"/>
        <v>0</v>
      </c>
      <c r="N28" s="22">
        <f t="shared" ca="1" si="21"/>
        <v>12481138.830000002</v>
      </c>
      <c r="O28" s="22">
        <f t="shared" ref="O28:O37" ca="1" si="22">IF(L28&gt;0,N28*100/L28,0)</f>
        <v>23.237116487815847</v>
      </c>
      <c r="P28" s="22">
        <f t="shared" ref="P28:P31" si="23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si="25"/>
        <v>0</v>
      </c>
      <c r="N30" s="30">
        <f t="shared" ca="1" si="25"/>
        <v>12481138.830000002</v>
      </c>
      <c r="O30" s="30">
        <f t="shared" ca="1" si="22"/>
        <v>23.237116487815847</v>
      </c>
      <c r="P30" s="30">
        <f t="shared" si="23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si="26"/>
        <v>0</v>
      </c>
      <c r="N31" s="38">
        <f t="shared" ca="1" si="26"/>
        <v>12481138.830000002</v>
      </c>
      <c r="O31" s="38">
        <f t="shared" ca="1" si="22"/>
        <v>23.237116487815847</v>
      </c>
      <c r="P31" s="38">
        <f t="shared" si="23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si="28"/>
        <v>0</v>
      </c>
      <c r="N33" s="45">
        <f t="shared" ca="1" si="28"/>
        <v>12481138.830000002</v>
      </c>
      <c r="O33" s="45">
        <f t="shared" ca="1" si="22"/>
        <v>23.237116487815847</v>
      </c>
      <c r="P33" s="45">
        <f t="shared" ref="P33:P37" si="29">IF(M33&gt;0,N33*100/M33,0)</f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72317816.400000006</v>
      </c>
      <c r="N37" s="59">
        <f ca="1">N41+N53+N66+N88+N119+N132+N149+N165+N181+N261+N277+N298+N315+N328+N345+N389+N402</f>
        <v>41836070.209999986</v>
      </c>
      <c r="O37" s="59">
        <f t="shared" ca="1" si="22"/>
        <v>41.603403177728538</v>
      </c>
      <c r="P37" s="59">
        <f t="shared" ca="1" si="29"/>
        <v>57.850295117594264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13351577.4</v>
      </c>
      <c r="N41" s="85">
        <f t="shared" ca="1" si="33"/>
        <v>5426334.8300000001</v>
      </c>
      <c r="O41" s="85">
        <f t="shared" ref="O41:O45" ca="1" si="34">IF(L41&gt;0,N41*100/L41,0)</f>
        <v>41.129005908234767</v>
      </c>
      <c r="P41" s="85">
        <f t="shared" ref="P41:P49" ca="1" si="35">IF(M41&gt;0,N41*100/M41,0)</f>
        <v>40.641900709050304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13351577.4</v>
      </c>
      <c r="N43" s="92">
        <f t="shared" ca="1" si="37"/>
        <v>5426334.8300000001</v>
      </c>
      <c r="O43" s="92">
        <f t="shared" ca="1" si="34"/>
        <v>41.129005908234767</v>
      </c>
      <c r="P43" s="92">
        <f t="shared" ca="1" si="35"/>
        <v>40.641900709050304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13351577.4</v>
      </c>
      <c r="N44" s="38">
        <f t="shared" ca="1" si="38"/>
        <v>5426334.8300000001</v>
      </c>
      <c r="O44" s="38">
        <f t="shared" ca="1" si="34"/>
        <v>41.129005908234767</v>
      </c>
      <c r="P44" s="38">
        <f t="shared" ca="1" si="35"/>
        <v>40.641900709050304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"),13351577.4)</f>
        <v>13351577.4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"),5426334.83)</f>
        <v>5426334.8300000001</v>
      </c>
      <c r="O46" s="45">
        <f ca="1">IF(M46&gt;0,N46*100/M46,0)</f>
        <v>40.641900709050304</v>
      </c>
      <c r="P46" s="45">
        <f t="shared" ca="1" si="35"/>
        <v>40.641900709050304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20494097</v>
      </c>
      <c r="N53" s="116">
        <f t="shared" ca="1" si="41"/>
        <v>11247755.439999999</v>
      </c>
      <c r="O53" s="116">
        <f t="shared" ref="O53:O61" ca="1" si="42">IF(L53&gt;0,N53*100/L53,0)</f>
        <v>44.980046628622617</v>
      </c>
      <c r="P53" s="116">
        <f t="shared" ref="P53:P61" ca="1" si="43">IF(M53&gt;0,N53*100/M53,0)</f>
        <v>54.882903306254477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20494097</v>
      </c>
      <c r="N55" s="123">
        <f t="shared" ca="1" si="45"/>
        <v>11247755.439999999</v>
      </c>
      <c r="O55" s="123">
        <f t="shared" ca="1" si="42"/>
        <v>44.980046628622617</v>
      </c>
      <c r="P55" s="123">
        <f t="shared" ca="1" si="43"/>
        <v>54.882903306254477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12326505</v>
      </c>
      <c r="N56" s="38">
        <f t="shared" ca="1" si="46"/>
        <v>6769268.6299999999</v>
      </c>
      <c r="O56" s="38">
        <f t="shared" ca="1" si="42"/>
        <v>42.480239408601136</v>
      </c>
      <c r="P56" s="38">
        <f t="shared" ca="1" si="43"/>
        <v>54.916366236820572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"),12326505)</f>
        <v>12326505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"),6769268.63)</f>
        <v>6769268.6299999999</v>
      </c>
      <c r="O58" s="45">
        <f t="shared" ca="1" si="42"/>
        <v>42.480239408601136</v>
      </c>
      <c r="P58" s="45">
        <f t="shared" ca="1" si="43"/>
        <v>54.916366236820572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8167592</v>
      </c>
      <c r="N59" s="38">
        <f t="shared" ca="1" si="47"/>
        <v>4478486.8099999996</v>
      </c>
      <c r="O59" s="38">
        <f t="shared" ca="1" si="42"/>
        <v>49.371478447800676</v>
      </c>
      <c r="P59" s="38">
        <f t="shared" ca="1" si="43"/>
        <v>54.832401153240752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"),8167592)</f>
        <v>8167592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"),4478486.81)</f>
        <v>4478486.8099999996</v>
      </c>
      <c r="O61" s="52">
        <f t="shared" ca="1" si="42"/>
        <v>49.371478447800676</v>
      </c>
      <c r="P61" s="52">
        <f t="shared" ca="1" si="43"/>
        <v>54.832401153240752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13</v>
      </c>
      <c r="K64" s="145">
        <f t="shared" ref="K64:K65" ca="1" si="49">IF(I64&gt;0,J64*100/I64,0)</f>
        <v>76.470588235294116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618</v>
      </c>
      <c r="K65" s="145">
        <f t="shared" ca="1" si="49"/>
        <v>81.315789473684205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7592850</v>
      </c>
      <c r="N66" s="155">
        <f t="shared" ca="1" si="51"/>
        <v>4594133.55</v>
      </c>
      <c r="O66" s="155">
        <f t="shared" ref="O66:O74" ca="1" si="52">IF(L66&gt;0,N66*100/L66,0)</f>
        <v>35.52256668986314</v>
      </c>
      <c r="P66" s="155">
        <f t="shared" ref="P66:P74" ca="1" si="53">IF(M66&gt;0,N66*100/M66,0)</f>
        <v>60.506049111993519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7592850</v>
      </c>
      <c r="N68" s="45">
        <f t="shared" ca="1" si="55"/>
        <v>4594133.55</v>
      </c>
      <c r="O68" s="45">
        <f t="shared" ca="1" si="52"/>
        <v>35.52256668986314</v>
      </c>
      <c r="P68" s="45">
        <f t="shared" ca="1" si="53"/>
        <v>60.506049111993519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7592850</v>
      </c>
      <c r="N69" s="38">
        <f t="shared" ca="1" si="56"/>
        <v>4594133.55</v>
      </c>
      <c r="O69" s="38">
        <f t="shared" ca="1" si="52"/>
        <v>35.52256668986314</v>
      </c>
      <c r="P69" s="38">
        <f t="shared" ca="1" si="53"/>
        <v>60.506049111993519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"),7592850)</f>
        <v>7592850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"),4594133.55)</f>
        <v>4594133.55</v>
      </c>
      <c r="O71" s="45">
        <f t="shared" ca="1" si="52"/>
        <v>35.52256668986314</v>
      </c>
      <c r="P71" s="45">
        <f t="shared" ca="1" si="53"/>
        <v>60.506049111993519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13</v>
      </c>
      <c r="K76" s="163">
        <f t="shared" ref="K76:K84" ca="1" si="59">IF(I76&gt;0,J76*100/I76,0)</f>
        <v>76.470588235294116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618</v>
      </c>
      <c r="K77" s="163">
        <f t="shared" ca="1" si="59"/>
        <v>81.315789473684205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"),2)</f>
        <v>2</v>
      </c>
      <c r="K78" s="163">
        <f t="shared" ca="1" si="59"/>
        <v>66.666666666666671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"),85)</f>
        <v>85</v>
      </c>
      <c r="K79" s="163">
        <f t="shared" ca="1" si="59"/>
        <v>72.649572649572647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"),5)</f>
        <v>5</v>
      </c>
      <c r="K80" s="163">
        <f t="shared" ca="1" si="59"/>
        <v>83.333333333333329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"),240)</f>
        <v>240</v>
      </c>
      <c r="K81" s="163">
        <f t="shared" ca="1" si="59"/>
        <v>88.888888888888886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"),6)</f>
        <v>6</v>
      </c>
      <c r="K82" s="163">
        <f t="shared" ca="1" si="59"/>
        <v>75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"),293)</f>
        <v>293</v>
      </c>
      <c r="K83" s="163">
        <f t="shared" ca="1" si="59"/>
        <v>78.552278820375335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"),1)</f>
        <v>1</v>
      </c>
      <c r="K84" s="163">
        <f t="shared" ca="1" si="59"/>
        <v>5.882352941176471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480</v>
      </c>
      <c r="K86" s="145">
        <f t="shared" ref="K86:K87" ca="1" si="62">IF(I86&gt;0,J86*100/I86,0)</f>
        <v>60.377358490566039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160</v>
      </c>
      <c r="K87" s="145">
        <f t="shared" ca="1" si="62"/>
        <v>60.377358490566039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1378960</v>
      </c>
      <c r="N88" s="155">
        <f t="shared" ca="1" si="64"/>
        <v>749638.78</v>
      </c>
      <c r="O88" s="155">
        <f t="shared" ref="O88:O96" ca="1" si="65">IF(L88&gt;0,N88*100/L88,0)</f>
        <v>32.603480250167443</v>
      </c>
      <c r="P88" s="155">
        <f t="shared" ref="P88:P96" ca="1" si="66">IF(M88&gt;0,N88*100/M88,0)</f>
        <v>54.362619655392471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1378960</v>
      </c>
      <c r="N90" s="45">
        <f t="shared" ca="1" si="68"/>
        <v>749638.78</v>
      </c>
      <c r="O90" s="45">
        <f t="shared" ca="1" si="65"/>
        <v>32.603480250167443</v>
      </c>
      <c r="P90" s="45">
        <f t="shared" ca="1" si="66"/>
        <v>54.362619655392471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1378960</v>
      </c>
      <c r="N91" s="38">
        <f t="shared" ca="1" si="69"/>
        <v>749638.78</v>
      </c>
      <c r="O91" s="38">
        <f t="shared" ca="1" si="65"/>
        <v>32.603480250167443</v>
      </c>
      <c r="P91" s="38">
        <f t="shared" ca="1" si="66"/>
        <v>54.362619655392471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"),1378960)</f>
        <v>1378960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"),749638.78)</f>
        <v>749638.78</v>
      </c>
      <c r="O93" s="45">
        <f t="shared" ca="1" si="65"/>
        <v>32.603480250167443</v>
      </c>
      <c r="P93" s="45">
        <f t="shared" ca="1" si="66"/>
        <v>54.362619655392471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480</v>
      </c>
      <c r="K98" s="38">
        <f t="shared" ref="K98:K100" ca="1" si="71">IF(I98&gt;0,J98*100/I98,0)</f>
        <v>60.377358490566039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160</v>
      </c>
      <c r="K99" s="38">
        <f t="shared" ca="1" si="71"/>
        <v>60.377358490566039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6</v>
      </c>
      <c r="K100" s="38">
        <f t="shared" ca="1" si="71"/>
        <v>18.181818181818183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"),480)</f>
        <v>480</v>
      </c>
      <c r="K102" s="38">
        <f t="shared" ref="K102:K104" ca="1" si="72">IF(I102&gt;0,J102*100/I102,0)</f>
        <v>60.377358490566039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"),170)</f>
        <v>170</v>
      </c>
      <c r="K103" s="38">
        <f t="shared" ca="1" si="72"/>
        <v>64.15094339622641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"),160)</f>
        <v>160</v>
      </c>
      <c r="K104" s="38">
        <f t="shared" ca="1" si="72"/>
        <v>60.377358490566039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"),3)</f>
        <v>3</v>
      </c>
      <c r="K106" s="38">
        <f t="shared" ref="K106:K107" ca="1" si="73">IF(I106&gt;0,J106*100/I106,0)</f>
        <v>16.666666666666668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"),3)</f>
        <v>3</v>
      </c>
      <c r="K107" s="38">
        <f t="shared" ca="1" si="73"/>
        <v>16.666666666666668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"),3)</f>
        <v>3</v>
      </c>
      <c r="K109" s="38">
        <f t="shared" ref="K109:K116" ca="1" si="74">IF(I109&gt;0,J109*100/I109,0)</f>
        <v>20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"),3)</f>
        <v>3</v>
      </c>
      <c r="K110" s="38">
        <f t="shared" ca="1" si="74"/>
        <v>20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0</v>
      </c>
      <c r="K111" s="195">
        <f t="shared" ca="1" si="74"/>
        <v>0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0</v>
      </c>
      <c r="K112" s="195">
        <f t="shared" ca="1" si="74"/>
        <v>0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"),0)</f>
        <v>0</v>
      </c>
      <c r="K113" s="38">
        <f t="shared" ca="1" si="74"/>
        <v>0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"),0)</f>
        <v>0</v>
      </c>
      <c r="K114" s="38">
        <f t="shared" ca="1" si="74"/>
        <v>0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"),0)</f>
        <v>0</v>
      </c>
      <c r="K115" s="38">
        <f t="shared" ca="1" si="74"/>
        <v>0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"),0)</f>
        <v>0</v>
      </c>
      <c r="K116" s="38">
        <f t="shared" ca="1" si="74"/>
        <v>0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"),1)</f>
        <v>1</v>
      </c>
      <c r="K118" s="145">
        <f ca="1">IF(I118&gt;0,J118*100/I118,0)</f>
        <v>16.666666666666668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507800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99.9970460811343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507800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99.9970460811343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507800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99.9970460811343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"),507800)</f>
        <v>507800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99.9970460811343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10</v>
      </c>
      <c r="K130" s="145">
        <f t="shared" ref="K130:K131" ca="1" si="84">IF(I130&gt;0,J130*100/I130,0)</f>
        <v>71.428571428571431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0</v>
      </c>
      <c r="K131" s="145">
        <f t="shared" ca="1" si="84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2123450</v>
      </c>
      <c r="N132" s="155">
        <f t="shared" ca="1" si="86"/>
        <v>1909383</v>
      </c>
      <c r="O132" s="155">
        <f t="shared" ref="O132:O140" ca="1" si="87">IF(L132&gt;0,N132*100/L132,0)</f>
        <v>77.599214816079197</v>
      </c>
      <c r="P132" s="155">
        <f t="shared" ref="P132:P140" ca="1" si="88">IF(M132&gt;0,N132*100/M132,0)</f>
        <v>89.918905554639849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2123450</v>
      </c>
      <c r="N134" s="45">
        <f t="shared" ca="1" si="90"/>
        <v>1909383</v>
      </c>
      <c r="O134" s="45">
        <f t="shared" ca="1" si="87"/>
        <v>77.599214816079197</v>
      </c>
      <c r="P134" s="45">
        <f t="shared" ca="1" si="88"/>
        <v>89.918905554639849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681450</v>
      </c>
      <c r="N135" s="38">
        <f t="shared" ca="1" si="91"/>
        <v>467883</v>
      </c>
      <c r="O135" s="38">
        <f t="shared" ca="1" si="87"/>
        <v>45.935281816664542</v>
      </c>
      <c r="P135" s="38">
        <f t="shared" ca="1" si="88"/>
        <v>68.659916354831608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"),681450)</f>
        <v>681450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"),467883)</f>
        <v>467883</v>
      </c>
      <c r="O137" s="45">
        <f t="shared" ca="1" si="87"/>
        <v>45.935281816664542</v>
      </c>
      <c r="P137" s="45">
        <f t="shared" ca="1" si="88"/>
        <v>68.659916354831608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"),50)</f>
        <v>50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IF(AND(J144&gt;=I144,J145&gt;=I145),J145,0)</f>
        <v>0</v>
      </c>
      <c r="K143" s="38">
        <f t="shared" ref="K143:K146" ca="1" si="93">IF(I143&gt;0,J143*100/I143,0)</f>
        <v>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"),70)</f>
        <v>70</v>
      </c>
      <c r="K144" s="38">
        <f t="shared" ca="1" si="93"/>
        <v>100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"),80)</f>
        <v>80</v>
      </c>
      <c r="K145" s="38">
        <f t="shared" ca="1" si="93"/>
        <v>57.142857142857146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"),10)</f>
        <v>10</v>
      </c>
      <c r="K146" s="38">
        <f t="shared" ca="1" si="93"/>
        <v>71.428571428571431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54</v>
      </c>
      <c r="K148" s="145">
        <f ca="1">IF(I148&gt;0,J148*100/I148,0)</f>
        <v>41.53846153846154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78838</v>
      </c>
      <c r="O149" s="155">
        <f t="shared" ref="O149:O157" ca="1" si="96">IF(L149&gt;0,N149*100/L149,0)</f>
        <v>121.28923076923077</v>
      </c>
      <c r="P149" s="155">
        <f t="shared" ref="P149:P157" ca="1" si="97">IF(M149&gt;0,N149*100/M149,0)</f>
        <v>50.084492726002161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78838</v>
      </c>
      <c r="O151" s="45">
        <f t="shared" ca="1" si="96"/>
        <v>121.28923076923077</v>
      </c>
      <c r="P151" s="45">
        <f t="shared" ca="1" si="97"/>
        <v>50.084492726002161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78838</v>
      </c>
      <c r="O152" s="38">
        <f t="shared" ca="1" si="96"/>
        <v>121.28923076923077</v>
      </c>
      <c r="P152" s="38">
        <f t="shared" ca="1" si="97"/>
        <v>50.084492726002161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"),78838)</f>
        <v>78838</v>
      </c>
      <c r="O154" s="45">
        <f t="shared" ca="1" si="96"/>
        <v>121.28923076923077</v>
      </c>
      <c r="P154" s="45">
        <f t="shared" ca="1" si="97"/>
        <v>50.084492726002161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"),54)</f>
        <v>54</v>
      </c>
      <c r="K159" s="38">
        <f ca="1">IF(I159&gt;0,J159*100/I159,0)</f>
        <v>41.53846153846154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188</v>
      </c>
      <c r="K164" s="254">
        <f ca="1">IF(I164&gt;0,J164*100/I164,0)</f>
        <v>88.679245283018872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422060</v>
      </c>
      <c r="N165" s="155">
        <f t="shared" ca="1" si="103"/>
        <v>392876</v>
      </c>
      <c r="O165" s="155">
        <f t="shared" ref="O165:O173" ca="1" si="104">IF(L165&gt;0,N165*100/L165,0)</f>
        <v>93.085343316116195</v>
      </c>
      <c r="P165" s="155">
        <f t="shared" ref="P165:P173" ca="1" si="105">IF(M165&gt;0,N165*100/M165,0)</f>
        <v>93.085343316116195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422060</v>
      </c>
      <c r="N167" s="45">
        <f t="shared" ca="1" si="107"/>
        <v>392876</v>
      </c>
      <c r="O167" s="45">
        <f t="shared" ca="1" si="104"/>
        <v>93.085343316116195</v>
      </c>
      <c r="P167" s="45">
        <f t="shared" ca="1" si="105"/>
        <v>93.085343316116195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422060</v>
      </c>
      <c r="N168" s="38">
        <f t="shared" ca="1" si="108"/>
        <v>392876</v>
      </c>
      <c r="O168" s="38">
        <f t="shared" ca="1" si="104"/>
        <v>93.085343316116195</v>
      </c>
      <c r="P168" s="38">
        <f t="shared" ca="1" si="105"/>
        <v>93.085343316116195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"),422060)</f>
        <v>422060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"),392876)</f>
        <v>392876</v>
      </c>
      <c r="O170" s="45">
        <f t="shared" ca="1" si="104"/>
        <v>93.085343316116195</v>
      </c>
      <c r="P170" s="45">
        <f t="shared" ca="1" si="105"/>
        <v>93.085343316116195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188</v>
      </c>
      <c r="K174" s="262">
        <f ca="1">IF(I174&gt;0,J174*100/I174,0)</f>
        <v>88.679245283018872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"),188)</f>
        <v>188</v>
      </c>
      <c r="K176" s="163">
        <f ca="1">IF(I176&gt;0,J176*100/I176,0)</f>
        <v>88.679245283018872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20</v>
      </c>
      <c r="K180" s="254">
        <f ca="1">IF(I180&gt;0,J180*100/I180,0)</f>
        <v>16.666666666666668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3046800</v>
      </c>
      <c r="N181" s="155">
        <f t="shared" ca="1" si="112"/>
        <v>1320029.8299999901</v>
      </c>
      <c r="O181" s="155">
        <f t="shared" ref="O181:O189" ca="1" si="113">IF(L181&gt;0,N181*100/L181,0)</f>
        <v>35.955379021054938</v>
      </c>
      <c r="P181" s="155">
        <f t="shared" ref="P181:P189" ca="1" si="114">IF(M181&gt;0,N181*100/M181,0)</f>
        <v>43.325122423525997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3046800</v>
      </c>
      <c r="N183" s="45">
        <f t="shared" ca="1" si="116"/>
        <v>1320029.8299999901</v>
      </c>
      <c r="O183" s="45">
        <f t="shared" ca="1" si="113"/>
        <v>35.955379021054938</v>
      </c>
      <c r="P183" s="45">
        <f t="shared" ca="1" si="114"/>
        <v>43.325122423525997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3046800</v>
      </c>
      <c r="N184" s="38">
        <f t="shared" ca="1" si="117"/>
        <v>1320029.8299999901</v>
      </c>
      <c r="O184" s="38">
        <f t="shared" ca="1" si="113"/>
        <v>35.955379021054938</v>
      </c>
      <c r="P184" s="38">
        <f t="shared" ca="1" si="114"/>
        <v>43.325122423525997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"),3046800)</f>
        <v>3046800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"),1320029.82999999)</f>
        <v>1320029.8299999901</v>
      </c>
      <c r="O186" s="45">
        <f t="shared" ca="1" si="113"/>
        <v>35.955379021054938</v>
      </c>
      <c r="P186" s="45">
        <f t="shared" ca="1" si="114"/>
        <v>43.325122423525997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25</v>
      </c>
      <c r="K190" s="273">
        <f ca="1">IF(I190&gt;0,J190*100/I190,0)</f>
        <v>31.25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"),12395)</f>
        <v>12395</v>
      </c>
      <c r="O191" s="155">
        <f ca="1">IF(L191&gt;0,N191*100/L191,0)</f>
        <v>10.329166666666667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"),25)</f>
        <v>25</v>
      </c>
      <c r="K193" s="38">
        <f ca="1">IF(I193&gt;0,J193*100/I193,0)</f>
        <v>31.25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679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"),664)</f>
        <v>664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39</v>
      </c>
      <c r="K197" s="273">
        <f ca="1">IF(I197&gt;0,J197*100/I197,0)</f>
        <v>67.241379310344826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308958</v>
      </c>
      <c r="O198" s="155">
        <f ca="1">IF(L198&gt;0,N198*100/L198,0)</f>
        <v>39.158174904942967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"),21488)</f>
        <v>21488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"),287470)</f>
        <v>287470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"),0)</f>
        <v>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"),0)</f>
        <v>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"),39)</f>
        <v>39</v>
      </c>
      <c r="K204" s="163">
        <f ca="1">IF(I204&gt;0,J204*100/I204,0)</f>
        <v>67.241379310344826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"),12)</f>
        <v>12</v>
      </c>
      <c r="K206" s="163">
        <f t="shared" ref="K206:K208" ca="1" si="121">IF(I206&gt;0,J206*100/I206,0)</f>
        <v>20.689655172413794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"),1)</f>
        <v>1</v>
      </c>
      <c r="K207" s="163">
        <f t="shared" ca="1" si="121"/>
        <v>14.285714285714286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17</v>
      </c>
      <c r="K208" s="273">
        <f t="shared" ca="1" si="121"/>
        <v>62.962962962962962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134225.25</v>
      </c>
      <c r="O209" s="155">
        <f ca="1">IF(L209&gt;0,N209*100/L209,0)</f>
        <v>35.509325396825396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"),7140)</f>
        <v>7140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"),0)</f>
        <v>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"),127085.25)</f>
        <v>127085.25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"),0)</f>
        <v>0</v>
      </c>
      <c r="K214" s="38">
        <f t="shared" ref="K214:K216" ca="1" si="123">IF(I214&gt;0,J214*100/I214,0)</f>
        <v>0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"),17)</f>
        <v>17</v>
      </c>
      <c r="K215" s="38">
        <f t="shared" ca="1" si="123"/>
        <v>62.962962962962962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0</v>
      </c>
      <c r="K216" s="273">
        <f t="shared" ca="1" si="123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25263</v>
      </c>
      <c r="O217" s="155">
        <f ca="1">IF(L217&gt;0,N217*100/L217,0)</f>
        <v>6.9537572254335256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"),5000)</f>
        <v>5000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"),7068)</f>
        <v>7068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"),13195)</f>
        <v>13195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"),80000)</f>
        <v>80000</v>
      </c>
      <c r="K223" s="163">
        <f t="shared" ref="K223:K226" ca="1" si="125">IF(I223&gt;0,J223*100/I223,0)</f>
        <v>9.3153237074988358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"),0)</f>
        <v>0</v>
      </c>
      <c r="K224" s="163">
        <f t="shared" ca="1" si="125"/>
        <v>0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"),20)</f>
        <v>20</v>
      </c>
      <c r="K225" s="163">
        <f t="shared" ca="1" si="125"/>
        <v>50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0</v>
      </c>
      <c r="K226" s="300">
        <f t="shared" ca="1" si="125"/>
        <v>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96080</v>
      </c>
      <c r="O227" s="311">
        <f ca="1">IF(L227&gt;0,N227*100/L227,0)</f>
        <v>17.280575539568346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52080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44000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0</v>
      </c>
      <c r="K233" s="322">
        <f ca="1">IF(I233&gt;0,J233*100/I233,0)</f>
        <v>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0</v>
      </c>
      <c r="K235" s="322">
        <f t="shared" ref="K235:K237" ca="1" si="131">IF(I235&gt;0,J235*100/I235,0)</f>
        <v>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0</v>
      </c>
      <c r="K236" s="322">
        <f t="shared" ca="1" si="131"/>
        <v>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0</v>
      </c>
      <c r="K237" s="346">
        <f t="shared" ca="1" si="131"/>
        <v>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96080</v>
      </c>
      <c r="O238" s="356">
        <f ca="1">IF(L238&gt;0,N238*100/L238,0)</f>
        <v>17.280575539568346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"),52080)</f>
        <v>52080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"),44000)</f>
        <v>44000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"),0)</f>
        <v>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"),0)</f>
        <v>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4" s="45">
        <f ca="1">IF(I244&gt;0,J244*100/I244,0)</f>
        <v>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6" s="45">
        <f ca="1">IF(I246&gt;0,J246*100/I246,0)</f>
        <v>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"),0)</f>
        <v>0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438</v>
      </c>
      <c r="K260" s="254">
        <f ca="1">IF(I260&gt;0,J260*100/I260,0)</f>
        <v>94.805194805194802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706900</v>
      </c>
      <c r="N261" s="155">
        <f t="shared" ca="1" si="137"/>
        <v>523348</v>
      </c>
      <c r="O261" s="155">
        <f t="shared" ref="O261:O269" ca="1" si="138">IF(L261&gt;0,N261*100/L261,0)</f>
        <v>61.942004971002483</v>
      </c>
      <c r="P261" s="155">
        <f t="shared" ref="P261:P269" ca="1" si="139">IF(M261&gt;0,N261*100/M261,0)</f>
        <v>74.034233979346439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706900</v>
      </c>
      <c r="N263" s="45">
        <f t="shared" ca="1" si="141"/>
        <v>523348</v>
      </c>
      <c r="O263" s="45">
        <f t="shared" ca="1" si="138"/>
        <v>61.942004971002483</v>
      </c>
      <c r="P263" s="45">
        <f t="shared" ca="1" si="139"/>
        <v>74.034233979346439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706900</v>
      </c>
      <c r="N264" s="38">
        <f t="shared" ca="1" si="142"/>
        <v>523348</v>
      </c>
      <c r="O264" s="38">
        <f t="shared" ca="1" si="138"/>
        <v>61.942004971002483</v>
      </c>
      <c r="P264" s="38">
        <f t="shared" ca="1" si="139"/>
        <v>74.034233979346439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"),706900)</f>
        <v>706900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"),523348)</f>
        <v>523348</v>
      </c>
      <c r="O266" s="45">
        <f t="shared" ca="1" si="138"/>
        <v>61.942004971002483</v>
      </c>
      <c r="P266" s="45">
        <f t="shared" ca="1" si="139"/>
        <v>74.034233979346439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"),438)</f>
        <v>438</v>
      </c>
      <c r="K271" s="163">
        <f ca="1">IF(I271&gt;0,J271*100/I271,0)</f>
        <v>94.805194805194802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0</v>
      </c>
      <c r="K275" s="407">
        <f t="shared" ref="K275:K276" ca="1" si="145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2200</v>
      </c>
      <c r="K276" s="407">
        <f t="shared" ca="1" si="145"/>
        <v>50.574712643678161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1639980</v>
      </c>
      <c r="N277" s="155">
        <f t="shared" ca="1" si="147"/>
        <v>923659.57</v>
      </c>
      <c r="O277" s="155">
        <f t="shared" ref="O277:O285" ca="1" si="148">IF(L277&gt;0,N277*100/L277,0)</f>
        <v>33.665847915702308</v>
      </c>
      <c r="P277" s="155">
        <f t="shared" ref="P277:P285" ca="1" si="149">IF(M277&gt;0,N277*100/M277,0)</f>
        <v>56.321392334052852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1639980</v>
      </c>
      <c r="N279" s="45">
        <f t="shared" ca="1" si="151"/>
        <v>923659.57</v>
      </c>
      <c r="O279" s="45">
        <f t="shared" ca="1" si="148"/>
        <v>33.665847915702308</v>
      </c>
      <c r="P279" s="45">
        <f t="shared" ca="1" si="149"/>
        <v>56.321392334052852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1639980</v>
      </c>
      <c r="N280" s="38">
        <f t="shared" ca="1" si="152"/>
        <v>923659.57</v>
      </c>
      <c r="O280" s="38">
        <f t="shared" ca="1" si="148"/>
        <v>33.665847915702308</v>
      </c>
      <c r="P280" s="38">
        <f t="shared" ca="1" si="149"/>
        <v>56.321392334052852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"),1639980)</f>
        <v>1639980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"),923659.57)</f>
        <v>923659.57</v>
      </c>
      <c r="O282" s="45">
        <f t="shared" ca="1" si="148"/>
        <v>33.665847915702308</v>
      </c>
      <c r="P282" s="45">
        <f t="shared" ca="1" si="149"/>
        <v>56.321392334052852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"),2200)</f>
        <v>2200</v>
      </c>
      <c r="K287" s="163">
        <f t="shared" ref="K287:K288" ca="1" si="154">IF(I287&gt;0,J287*100/I287,0)</f>
        <v>50.574712643678161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IF(AND(J291&gt;=I288,J294&gt;=I288),J294,0)</f>
        <v>0</v>
      </c>
      <c r="K288" s="411">
        <f t="shared" ca="1" si="154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"),340)</f>
        <v>340</v>
      </c>
      <c r="K290" s="163">
        <f t="shared" ref="K290:K291" ca="1" si="155">IF(I290&gt;0,J290*100/I290,0)</f>
        <v>78.160919540229884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"),310)</f>
        <v>310</v>
      </c>
      <c r="K291" s="163">
        <f t="shared" ca="1" si="155"/>
        <v>71.264367816091948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"),55)</f>
        <v>55</v>
      </c>
      <c r="K293" s="163">
        <f t="shared" ref="K293:K294" ca="1" si="156">IF(I293&gt;0,J293*100/I293,0)</f>
        <v>12.64367816091954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"),55)</f>
        <v>55</v>
      </c>
      <c r="K294" s="385">
        <f t="shared" ca="1" si="156"/>
        <v>12.64367816091954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195</v>
      </c>
      <c r="K297" s="445">
        <f ca="1">IF(I297&gt;0,J297*100/I297,0)</f>
        <v>79.591836734693871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1016720</v>
      </c>
      <c r="N298" s="155">
        <f t="shared" ca="1" si="158"/>
        <v>572960.18999999994</v>
      </c>
      <c r="O298" s="155">
        <f t="shared" ref="O298:O306" ca="1" si="159">IF(L298&gt;0,N298*100/L298,0)</f>
        <v>36.277079270609086</v>
      </c>
      <c r="P298" s="155">
        <f t="shared" ref="P298:P306" ca="1" si="160">IF(M298&gt;0,N298*100/M298,0)</f>
        <v>56.35378373593516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1016720</v>
      </c>
      <c r="N300" s="45">
        <f t="shared" ca="1" si="162"/>
        <v>572960.18999999994</v>
      </c>
      <c r="O300" s="45">
        <f t="shared" ca="1" si="159"/>
        <v>36.277079270609086</v>
      </c>
      <c r="P300" s="45">
        <f t="shared" ca="1" si="160"/>
        <v>56.35378373593516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1016720</v>
      </c>
      <c r="N301" s="38">
        <f t="shared" ca="1" si="163"/>
        <v>572960.18999999994</v>
      </c>
      <c r="O301" s="38">
        <f t="shared" ca="1" si="159"/>
        <v>36.277079270609086</v>
      </c>
      <c r="P301" s="38">
        <f t="shared" ca="1" si="160"/>
        <v>56.35378373593516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"),1016720)</f>
        <v>1016720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"),572960.19)</f>
        <v>572960.18999999994</v>
      </c>
      <c r="O303" s="45">
        <f t="shared" ca="1" si="159"/>
        <v>36.277079270609086</v>
      </c>
      <c r="P303" s="45">
        <f t="shared" ca="1" si="160"/>
        <v>56.35378373593516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"),8)</f>
        <v>8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"),195)</f>
        <v>195</v>
      </c>
      <c r="K309" s="38">
        <f t="shared" ref="K309:K312" ca="1" si="165">IF(I309&gt;0,J309*100/I309,0)</f>
        <v>79.591836734693871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"),70)</f>
        <v>70</v>
      </c>
      <c r="K310" s="38">
        <f t="shared" ca="1" si="165"/>
        <v>28.571428571428573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"),20)</f>
        <v>20</v>
      </c>
      <c r="K311" s="38">
        <f t="shared" ca="1" si="165"/>
        <v>8.1632653061224492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"),4)</f>
        <v>4</v>
      </c>
      <c r="K312" s="38">
        <f t="shared" ca="1" si="165"/>
        <v>8.1632653061224492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645000</v>
      </c>
      <c r="N315" s="155">
        <f t="shared" ca="1" si="167"/>
        <v>266746.25</v>
      </c>
      <c r="O315" s="155">
        <f t="shared" ref="O315:O323" ca="1" si="168">IF(L315&gt;0,N315*100/L315,0)</f>
        <v>30.38112186788155</v>
      </c>
      <c r="P315" s="155">
        <f t="shared" ref="P315:P323" ca="1" si="169">IF(M315&gt;0,N315*100/M315,0)</f>
        <v>41.356007751937987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645000</v>
      </c>
      <c r="N317" s="45">
        <f t="shared" ca="1" si="171"/>
        <v>266746.25</v>
      </c>
      <c r="O317" s="45">
        <f t="shared" ca="1" si="168"/>
        <v>30.38112186788155</v>
      </c>
      <c r="P317" s="45">
        <f t="shared" ca="1" si="169"/>
        <v>41.356007751937987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645000</v>
      </c>
      <c r="N318" s="38">
        <f t="shared" ca="1" si="172"/>
        <v>266746.25</v>
      </c>
      <c r="O318" s="38">
        <f t="shared" ca="1" si="168"/>
        <v>30.38112186788155</v>
      </c>
      <c r="P318" s="38">
        <f t="shared" ca="1" si="169"/>
        <v>41.356007751937987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"),645000)</f>
        <v>645000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"),266746.25)</f>
        <v>266746.25</v>
      </c>
      <c r="O320" s="45">
        <f t="shared" ca="1" si="168"/>
        <v>30.38112186788155</v>
      </c>
      <c r="P320" s="45">
        <f t="shared" ca="1" si="169"/>
        <v>41.356007751937987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50708</v>
      </c>
      <c r="K327" s="445">
        <f ca="1">IF(I327&gt;0,J327*100/I327,0)</f>
        <v>59.086460032626427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2835100</v>
      </c>
      <c r="N328" s="155">
        <f t="shared" ca="1" si="174"/>
        <v>1947236.0999999901</v>
      </c>
      <c r="O328" s="155">
        <f t="shared" ref="O328:O336" ca="1" si="175">IF(L328&gt;0,N328*100/L328,0)</f>
        <v>41.52951927998614</v>
      </c>
      <c r="P328" s="155">
        <f t="shared" ref="P328:P336" ca="1" si="176">IF(M328&gt;0,N328*100/M328,0)</f>
        <v>68.683154033367089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2835100</v>
      </c>
      <c r="N330" s="45">
        <f t="shared" ca="1" si="178"/>
        <v>1947236.0999999901</v>
      </c>
      <c r="O330" s="45">
        <f t="shared" ca="1" si="175"/>
        <v>41.52951927998614</v>
      </c>
      <c r="P330" s="45">
        <f t="shared" ca="1" si="176"/>
        <v>68.683154033367089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1985100</v>
      </c>
      <c r="N331" s="38">
        <f t="shared" ca="1" si="179"/>
        <v>1207236.0999999901</v>
      </c>
      <c r="O331" s="38">
        <f t="shared" ca="1" si="175"/>
        <v>31.448267687818849</v>
      </c>
      <c r="P331" s="38">
        <f t="shared" ca="1" si="176"/>
        <v>60.814875824894969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"),1985100)</f>
        <v>1985100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"),1207236.09999999)</f>
        <v>1207236.0999999901</v>
      </c>
      <c r="O333" s="45">
        <f t="shared" ca="1" si="175"/>
        <v>31.448267687818849</v>
      </c>
      <c r="P333" s="45">
        <f t="shared" ca="1" si="176"/>
        <v>60.814875824894969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850000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87.058823529411768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"),850000)</f>
        <v>850000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87.058823529411768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"),45858)</f>
        <v>45858</v>
      </c>
      <c r="K338" s="38">
        <f ca="1">IF(I338&gt;0,J338*100/I338,0)</f>
        <v>53.435096714052669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"),61)</f>
        <v>61</v>
      </c>
      <c r="K340" s="38">
        <f ca="1">IF(I340&gt;0,J340*100/I340,0)</f>
        <v>38.607594936708864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"),4434)</f>
        <v>4434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"),9)</f>
        <v>9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"),407)</f>
        <v>407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19234212</v>
      </c>
      <c r="N345" s="155">
        <f t="shared" ca="1" si="181"/>
        <v>11375345.67</v>
      </c>
      <c r="O345" s="155">
        <f t="shared" ref="O345:O353" ca="1" si="182">IF(L345&gt;0,N345*100/L345,0)</f>
        <v>38.868809095879179</v>
      </c>
      <c r="P345" s="155">
        <f t="shared" ref="P345:P353" ca="1" si="183">IF(M345&gt;0,N345*100/M345,0)</f>
        <v>59.141209788058902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19234212</v>
      </c>
      <c r="N347" s="45">
        <f t="shared" ca="1" si="185"/>
        <v>11375345.67</v>
      </c>
      <c r="O347" s="45">
        <f t="shared" ca="1" si="182"/>
        <v>38.868809095879179</v>
      </c>
      <c r="P347" s="45">
        <f t="shared" ca="1" si="183"/>
        <v>59.141209788058902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16890492</v>
      </c>
      <c r="N348" s="38">
        <f t="shared" ca="1" si="186"/>
        <v>9031625.6699999999</v>
      </c>
      <c r="O348" s="38">
        <f t="shared" ca="1" si="182"/>
        <v>33.556603739234468</v>
      </c>
      <c r="P348" s="38">
        <f t="shared" ca="1" si="183"/>
        <v>53.471655354977223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"),16890492)</f>
        <v>16890492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"),9031625.67)</f>
        <v>9031625.6699999999</v>
      </c>
      <c r="O350" s="45">
        <f t="shared" ca="1" si="182"/>
        <v>33.556603739234468</v>
      </c>
      <c r="P350" s="45">
        <f t="shared" ca="1" si="183"/>
        <v>53.471655354977223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"),14673)</f>
        <v>14673</v>
      </c>
      <c r="J355" s="464">
        <f ca="1">J362</f>
        <v>1094</v>
      </c>
      <c r="K355" s="465">
        <f ca="1">IF(I355&gt;0,J355*100/I355,0)</f>
        <v>7.4558713282900566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"),4911)</f>
        <v>4911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"),148020)</f>
        <v>148020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"),40267.27)</f>
        <v>40267.269999999997</v>
      </c>
      <c r="K359" s="38">
        <f t="shared" ca="1" si="188"/>
        <v>27.203938656938249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"),14673)</f>
        <v>14673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"),3871)</f>
        <v>3871</v>
      </c>
      <c r="K360" s="38">
        <f t="shared" ca="1" si="188"/>
        <v>26.381789681728346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"),34755.38)</f>
        <v>34755.379999999997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"),14673)</f>
        <v>14673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"),1094)</f>
        <v>1094</v>
      </c>
      <c r="K362" s="38">
        <f t="shared" ca="1" si="188"/>
        <v>7.4558713282900566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"),9109.44)</f>
        <v>9109.44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25308</v>
      </c>
      <c r="J364" s="478">
        <f t="shared" ca="1" si="189"/>
        <v>4900</v>
      </c>
      <c r="K364" s="479">
        <f t="shared" ca="1" si="188"/>
        <v>19.361466729887784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"),4742)</f>
        <v>4742</v>
      </c>
      <c r="J365" s="490">
        <f ca="1">J372</f>
        <v>212</v>
      </c>
      <c r="K365" s="491">
        <f t="shared" ca="1" si="188"/>
        <v>4.4706874736398143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"),1553)</f>
        <v>1553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"),49520)</f>
        <v>49520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"),12236.13)</f>
        <v>12236.13</v>
      </c>
      <c r="K369" s="38">
        <f t="shared" ca="1" si="190"/>
        <v>24.709470920840065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"),4742)</f>
        <v>4742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"),918)</f>
        <v>918</v>
      </c>
      <c r="K370" s="38">
        <f t="shared" ca="1" si="190"/>
        <v>19.358920286798821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"),8826.59)</f>
        <v>8826.59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"),4742)</f>
        <v>4742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"),212)</f>
        <v>212</v>
      </c>
      <c r="K372" s="38">
        <f t="shared" ca="1" si="190"/>
        <v>4.4706874736398143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"),1821.75)</f>
        <v>1821.75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"),20566)</f>
        <v>20566</v>
      </c>
      <c r="J374" s="490">
        <f ca="1">J381</f>
        <v>4688</v>
      </c>
      <c r="K374" s="491">
        <f t="shared" ca="1" si="190"/>
        <v>22.794904210833415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"),3373)</f>
        <v>3373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"),98500)</f>
        <v>98500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"),28268.83)</f>
        <v>28268.83</v>
      </c>
      <c r="K378" s="497">
        <f t="shared" ca="1" si="191"/>
        <v>28.699319796954313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"),20566)</f>
        <v>20566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"),7848)</f>
        <v>7848</v>
      </c>
      <c r="K379" s="497">
        <f t="shared" ca="1" si="191"/>
        <v>38.1600700184771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"),88130.34)</f>
        <v>88130.34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"),20566)</f>
        <v>20566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"),4688)</f>
        <v>4688</v>
      </c>
      <c r="K381" s="497">
        <f t="shared" ca="1" si="191"/>
        <v>22.794904210833415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"),55236.5399999999)</f>
        <v>55236.539999999899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454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0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"),5)</f>
        <v>5</v>
      </c>
      <c r="K385" s="501">
        <f ca="1">IF(I385&gt;0,J385*100/I385,0)</f>
        <v>0.31133250311332505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ca="1" si="192">I400</f>
        <v>0</v>
      </c>
      <c r="J388" s="521">
        <f t="shared" ca="1" si="192"/>
        <v>0</v>
      </c>
      <c r="K388" s="522">
        <f ca="1"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ca="1" si="201">I412</f>
        <v>0</v>
      </c>
      <c r="J401" s="521">
        <f t="shared" ca="1" si="201"/>
        <v>0</v>
      </c>
      <c r="K401" s="522">
        <f t="shared" ca="1" si="200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29" t="s">
        <v>38</v>
      </c>
      <c r="E411" s="530"/>
      <c r="F411" s="530"/>
      <c r="G411" s="531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177</v>
      </c>
      <c r="E412" s="178"/>
      <c r="F412" s="178"/>
      <c r="G412" s="179"/>
      <c r="H412" s="532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39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0">
        <f t="shared" ca="1" si="209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210">L419+L444+L467+L502+L523+L544+L629+L655+L685+L737+L754+L770+L786+L805</f>
        <v>53712081</v>
      </c>
      <c r="M414" s="548">
        <f t="shared" si="210"/>
        <v>0</v>
      </c>
      <c r="N414" s="548">
        <f t="shared" ca="1" si="210"/>
        <v>12481138.830000002</v>
      </c>
      <c r="O414" s="548">
        <f ca="1">IF(L414&gt;0,N414*100/L414,0)</f>
        <v>23.237116487815847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59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7" ca="1" si="211">I433</f>
        <v>535</v>
      </c>
      <c r="J417" s="564">
        <f t="shared" ca="1" si="211"/>
        <v>230</v>
      </c>
      <c r="K417" s="565">
        <f t="shared" ref="K417:K418" ca="1" si="212">IF(I417&gt;0,J417*100/I417,0)</f>
        <v>42.990654205607477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ref="I418:J418" ca="1" si="213">I434</f>
        <v>22</v>
      </c>
      <c r="J418" s="564">
        <f t="shared" ca="1" si="213"/>
        <v>8</v>
      </c>
      <c r="K418" s="565">
        <f t="shared" ca="1" si="212"/>
        <v>36.363636363636367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895" t="s">
        <v>17</v>
      </c>
      <c r="E419" s="890"/>
      <c r="F419" s="890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si="214"/>
        <v>0</v>
      </c>
      <c r="N419" s="155">
        <f t="shared" ca="1" si="214"/>
        <v>822332.3</v>
      </c>
      <c r="O419" s="155">
        <f t="shared" ref="O419:O424" ca="1" si="215">IF(L419&gt;0,N419*100/L419,0)</f>
        <v>40.212241684515249</v>
      </c>
      <c r="P419" s="155">
        <f t="shared" ref="P419:P424" si="21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184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185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si="218"/>
        <v>0</v>
      </c>
      <c r="N421" s="45">
        <f t="shared" ca="1" si="218"/>
        <v>822332.3</v>
      </c>
      <c r="O421" s="45">
        <f t="shared" ca="1" si="215"/>
        <v>40.212241684515249</v>
      </c>
      <c r="P421" s="45">
        <f t="shared" si="21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si="219"/>
        <v>0</v>
      </c>
      <c r="N422" s="38">
        <f t="shared" ca="1" si="219"/>
        <v>822332.3</v>
      </c>
      <c r="O422" s="38">
        <f t="shared" ca="1" si="215"/>
        <v>40.212241684515249</v>
      </c>
      <c r="P422" s="38">
        <f t="shared" si="21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184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185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v>0</v>
      </c>
      <c r="N424" s="45">
        <f ca="1">N425+N426+N427+N428</f>
        <v>822332.3</v>
      </c>
      <c r="O424" s="45">
        <f t="shared" ca="1" si="215"/>
        <v>40.212241684515249</v>
      </c>
      <c r="P424" s="45">
        <f t="shared" si="21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570"/>
      <c r="D425" s="570"/>
      <c r="E425" s="570"/>
      <c r="F425" s="571" t="s">
        <v>186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"),591735)</f>
        <v>591735</v>
      </c>
      <c r="O425" s="38"/>
      <c r="P425" s="38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570"/>
      <c r="D426" s="570"/>
      <c r="E426" s="570"/>
      <c r="F426" s="571" t="s">
        <v>187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"),450)</f>
        <v>450</v>
      </c>
      <c r="O426" s="38"/>
      <c r="P426" s="38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570"/>
      <c r="D427" s="570"/>
      <c r="E427" s="570"/>
      <c r="F427" s="571" t="s">
        <v>188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12" t="s">
        <v>189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"),230147.3)</f>
        <v>230147.3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3" t="s">
        <v>38</v>
      </c>
      <c r="E432" s="574"/>
      <c r="F432" s="574"/>
      <c r="G432" s="575"/>
      <c r="H432" s="576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190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"),230)</f>
        <v>230</v>
      </c>
      <c r="K433" s="195">
        <f t="shared" ref="K433:K435" ca="1" si="223">IF(I433&gt;0,J433*100/I433,0)</f>
        <v>42.990654205607477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191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8</v>
      </c>
      <c r="K434" s="195">
        <f t="shared" ca="1" si="223"/>
        <v>36.363636363636367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192</v>
      </c>
      <c r="E435" s="178"/>
      <c r="F435" s="178"/>
      <c r="G435" s="179"/>
      <c r="H435" s="36" t="s">
        <v>35</v>
      </c>
      <c r="I435" s="577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78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"),350)</f>
        <v>350</v>
      </c>
      <c r="K435" s="497">
        <f t="shared" ca="1" si="223"/>
        <v>65.420560747663558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193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194</v>
      </c>
      <c r="E437" s="178"/>
      <c r="F437" s="178"/>
      <c r="G437" s="179"/>
      <c r="H437" s="36" t="s">
        <v>35</v>
      </c>
      <c r="I437" s="577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78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"),30)</f>
        <v>30</v>
      </c>
      <c r="K437" s="497">
        <f t="shared" ref="K437:K443" ca="1" si="225">IF(I437&gt;0,J437*100/I437,0)</f>
        <v>37.5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195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"),1)</f>
        <v>1</v>
      </c>
      <c r="K438" s="38">
        <f t="shared" ca="1" si="225"/>
        <v>50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196</v>
      </c>
      <c r="E439" s="178"/>
      <c r="F439" s="178"/>
      <c r="G439" s="179"/>
      <c r="H439" s="36" t="s">
        <v>35</v>
      </c>
      <c r="I439" s="577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78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"),220)</f>
        <v>220</v>
      </c>
      <c r="K439" s="497">
        <f t="shared" ca="1" si="225"/>
        <v>48.35164835164835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197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"),7)</f>
        <v>7</v>
      </c>
      <c r="K440" s="38">
        <f t="shared" ca="1" si="225"/>
        <v>35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198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226">I460</f>
        <v>1355</v>
      </c>
      <c r="J442" s="584">
        <f t="shared" ca="1" si="226"/>
        <v>999</v>
      </c>
      <c r="K442" s="585">
        <f t="shared" ca="1" si="225"/>
        <v>73.726937269372698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227">I462</f>
        <v>4780</v>
      </c>
      <c r="J443" s="564">
        <f t="shared" ca="1" si="227"/>
        <v>3239</v>
      </c>
      <c r="K443" s="565">
        <f t="shared" ca="1" si="225"/>
        <v>67.761506276150627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570"/>
      <c r="C444" s="570" t="s">
        <v>16</v>
      </c>
      <c r="D444" s="887" t="s">
        <v>17</v>
      </c>
      <c r="E444" s="888"/>
      <c r="F444" s="888"/>
      <c r="G444" s="189"/>
      <c r="H444" s="592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si="228"/>
        <v>0</v>
      </c>
      <c r="N444" s="195">
        <f t="shared" ca="1" si="228"/>
        <v>2691435.89</v>
      </c>
      <c r="O444" s="195">
        <f t="shared" ref="O444:O449" ca="1" si="229">IF(L444&gt;0,N444*100/L444,0)</f>
        <v>27.333024299804972</v>
      </c>
      <c r="P444" s="195">
        <f t="shared" ref="P444:P449" si="230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594"/>
      <c r="C445" s="594"/>
      <c r="D445" s="595"/>
      <c r="E445" s="596" t="s">
        <v>184</v>
      </c>
      <c r="F445" s="594"/>
      <c r="G445" s="597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599"/>
      <c r="C446" s="594"/>
      <c r="D446" s="595"/>
      <c r="E446" s="596" t="s">
        <v>185</v>
      </c>
      <c r="F446" s="594"/>
      <c r="G446" s="597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si="232"/>
        <v>0</v>
      </c>
      <c r="N446" s="45">
        <f t="shared" ca="1" si="232"/>
        <v>2691435.89</v>
      </c>
      <c r="O446" s="45">
        <f t="shared" ca="1" si="229"/>
        <v>27.333024299804972</v>
      </c>
      <c r="P446" s="45">
        <f t="shared" si="230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570"/>
      <c r="D447" s="600" t="s">
        <v>20</v>
      </c>
      <c r="E447" s="570"/>
      <c r="F447" s="570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si="233"/>
        <v>0</v>
      </c>
      <c r="N447" s="38">
        <f t="shared" ca="1" si="233"/>
        <v>2691435.89</v>
      </c>
      <c r="O447" s="38">
        <f t="shared" ca="1" si="229"/>
        <v>27.333024299804972</v>
      </c>
      <c r="P447" s="38">
        <f t="shared" si="230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599"/>
      <c r="C448" s="594"/>
      <c r="D448" s="595"/>
      <c r="E448" s="596" t="s">
        <v>184</v>
      </c>
      <c r="F448" s="594"/>
      <c r="G448" s="597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599"/>
      <c r="C449" s="594"/>
      <c r="D449" s="595"/>
      <c r="E449" s="596" t="s">
        <v>185</v>
      </c>
      <c r="F449" s="594"/>
      <c r="G449" s="597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v>0</v>
      </c>
      <c r="N449" s="45">
        <f ca="1">N450+N451+N452+N453</f>
        <v>2691435.89</v>
      </c>
      <c r="O449" s="45">
        <f t="shared" ca="1" si="229"/>
        <v>27.333024299804972</v>
      </c>
      <c r="P449" s="45">
        <f t="shared" si="230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570"/>
      <c r="D450" s="570"/>
      <c r="E450" s="570"/>
      <c r="F450" s="571" t="s">
        <v>186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"),988071)</f>
        <v>988071</v>
      </c>
      <c r="O450" s="38"/>
      <c r="P450" s="38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570"/>
      <c r="D451" s="570"/>
      <c r="E451" s="570"/>
      <c r="F451" s="571" t="s">
        <v>187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"),670160)</f>
        <v>670160</v>
      </c>
      <c r="O451" s="38"/>
      <c r="P451" s="38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571" t="s">
        <v>188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"),719916.89)</f>
        <v>719916.89</v>
      </c>
      <c r="O452" s="38"/>
      <c r="P452" s="38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571" t="s">
        <v>189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"),313288)</f>
        <v>313288</v>
      </c>
      <c r="O453" s="38"/>
      <c r="P453" s="38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570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599"/>
      <c r="C455" s="599"/>
      <c r="D455" s="599"/>
      <c r="E455" s="601" t="s">
        <v>18</v>
      </c>
      <c r="F455" s="594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599"/>
      <c r="C456" s="599"/>
      <c r="D456" s="599"/>
      <c r="E456" s="601" t="s">
        <v>19</v>
      </c>
      <c r="F456" s="594"/>
      <c r="G456" s="597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03"/>
      <c r="C457" s="569" t="s">
        <v>16</v>
      </c>
      <c r="D457" s="604" t="s">
        <v>38</v>
      </c>
      <c r="E457" s="605"/>
      <c r="F457" s="606"/>
      <c r="G457" s="607"/>
      <c r="H457" s="175"/>
      <c r="I457" s="37"/>
      <c r="J457" s="37"/>
      <c r="K457" s="38"/>
      <c r="L457" s="38"/>
      <c r="M457" s="38"/>
      <c r="N457" s="38"/>
      <c r="O457" s="38"/>
      <c r="P457" s="38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09"/>
      <c r="C458" s="609"/>
      <c r="D458" s="610" t="s">
        <v>200</v>
      </c>
      <c r="E458" s="609"/>
      <c r="F458" s="595"/>
      <c r="G458" s="366"/>
      <c r="H458" s="370" t="s">
        <v>35</v>
      </c>
      <c r="I458" s="611">
        <v>0</v>
      </c>
      <c r="J458" s="611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09"/>
      <c r="C459" s="609"/>
      <c r="D459" s="610" t="s">
        <v>201</v>
      </c>
      <c r="E459" s="609"/>
      <c r="F459" s="595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03"/>
      <c r="C460" s="603"/>
      <c r="D460" s="612" t="s">
        <v>202</v>
      </c>
      <c r="E460" s="603"/>
      <c r="F460" s="613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"),999)</f>
        <v>999</v>
      </c>
      <c r="K460" s="38">
        <f ca="1">IF(I460&gt;0,J460*100/I460,0)</f>
        <v>73.726937269372698</v>
      </c>
      <c r="L460" s="38"/>
      <c r="M460" s="38"/>
      <c r="N460" s="38"/>
      <c r="O460" s="38"/>
      <c r="P460" s="38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03"/>
      <c r="C461" s="603"/>
      <c r="D461" s="612" t="s">
        <v>203</v>
      </c>
      <c r="E461" s="613"/>
      <c r="F461" s="613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03"/>
      <c r="C462" s="603"/>
      <c r="D462" s="612" t="s">
        <v>204</v>
      </c>
      <c r="E462" s="613"/>
      <c r="F462" s="613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"),3239)</f>
        <v>3239</v>
      </c>
      <c r="K462" s="38">
        <f ca="1">IF(I462&gt;0,J462*100/I462,0)</f>
        <v>67.761506276150627</v>
      </c>
      <c r="L462" s="38"/>
      <c r="M462" s="38"/>
      <c r="N462" s="38"/>
      <c r="O462" s="38"/>
      <c r="P462" s="38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03"/>
      <c r="C463" s="603"/>
      <c r="D463" s="612" t="s">
        <v>59</v>
      </c>
      <c r="E463" s="613"/>
      <c r="F463" s="570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"),203)</f>
        <v>203</v>
      </c>
      <c r="K463" s="38"/>
      <c r="L463" s="38"/>
      <c r="M463" s="38"/>
      <c r="N463" s="38"/>
      <c r="O463" s="38"/>
      <c r="P463" s="38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03"/>
      <c r="C464" s="603"/>
      <c r="D464" s="603"/>
      <c r="E464" s="613"/>
      <c r="F464" s="613"/>
      <c r="G464" s="614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"),91)</f>
        <v>91</v>
      </c>
      <c r="K464" s="38"/>
      <c r="L464" s="38"/>
      <c r="M464" s="38"/>
      <c r="N464" s="38"/>
      <c r="O464" s="38"/>
      <c r="P464" s="38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4">
        <f ca="1">J485+J489+J492</f>
        <v>1276</v>
      </c>
      <c r="K465" s="585">
        <f t="shared" ref="K465:K466" ca="1" si="237">IF(I465&gt;0,J465*100/I465,0)</f>
        <v>66.458333333333329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4">
        <f ca="1">J495+J498</f>
        <v>0</v>
      </c>
      <c r="K466" s="565">
        <f t="shared" ca="1" si="237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570"/>
      <c r="C467" s="570" t="s">
        <v>16</v>
      </c>
      <c r="D467" s="887" t="s">
        <v>17</v>
      </c>
      <c r="E467" s="888"/>
      <c r="F467" s="888"/>
      <c r="G467" s="189"/>
      <c r="H467" s="592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si="238"/>
        <v>0</v>
      </c>
      <c r="N467" s="195">
        <f t="shared" ca="1" si="238"/>
        <v>1993095.35</v>
      </c>
      <c r="O467" s="195">
        <f t="shared" ref="O467:O472" ca="1" si="239">IF(L467&gt;0,N467*100/L467,0)</f>
        <v>11.889327467894237</v>
      </c>
      <c r="P467" s="195">
        <f t="shared" ref="P467:P472" si="240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594"/>
      <c r="C468" s="594"/>
      <c r="D468" s="595"/>
      <c r="E468" s="596" t="s">
        <v>184</v>
      </c>
      <c r="F468" s="594"/>
      <c r="G468" s="597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599"/>
      <c r="C469" s="594"/>
      <c r="D469" s="595"/>
      <c r="E469" s="596" t="s">
        <v>185</v>
      </c>
      <c r="F469" s="594"/>
      <c r="G469" s="597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si="242"/>
        <v>0</v>
      </c>
      <c r="N469" s="45">
        <f t="shared" ca="1" si="242"/>
        <v>1993095.35</v>
      </c>
      <c r="O469" s="45">
        <f t="shared" ca="1" si="239"/>
        <v>11.889327467894237</v>
      </c>
      <c r="P469" s="45">
        <f t="shared" si="240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570"/>
      <c r="D470" s="600" t="s">
        <v>20</v>
      </c>
      <c r="E470" s="570"/>
      <c r="F470" s="570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si="243"/>
        <v>0</v>
      </c>
      <c r="N470" s="38">
        <f t="shared" ca="1" si="243"/>
        <v>1993095.35</v>
      </c>
      <c r="O470" s="38">
        <f t="shared" ca="1" si="239"/>
        <v>11.889327467894237</v>
      </c>
      <c r="P470" s="38">
        <f t="shared" si="240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599"/>
      <c r="C471" s="594"/>
      <c r="D471" s="595"/>
      <c r="E471" s="596" t="s">
        <v>184</v>
      </c>
      <c r="F471" s="594"/>
      <c r="G471" s="597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599"/>
      <c r="C472" s="594"/>
      <c r="D472" s="595"/>
      <c r="E472" s="596" t="s">
        <v>185</v>
      </c>
      <c r="F472" s="594"/>
      <c r="G472" s="597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v>0</v>
      </c>
      <c r="N472" s="45">
        <f ca="1">N473+N474+N475+N476</f>
        <v>1993095.35</v>
      </c>
      <c r="O472" s="45">
        <f t="shared" ca="1" si="239"/>
        <v>11.889327467894237</v>
      </c>
      <c r="P472" s="45">
        <f t="shared" si="240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570"/>
      <c r="D473" s="570"/>
      <c r="E473" s="570"/>
      <c r="F473" s="571" t="s">
        <v>186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"),1174112)</f>
        <v>1174112</v>
      </c>
      <c r="O473" s="38"/>
      <c r="P473" s="38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570"/>
      <c r="D474" s="570"/>
      <c r="E474" s="570"/>
      <c r="F474" s="571" t="s">
        <v>187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"),5200)</f>
        <v>5200</v>
      </c>
      <c r="O474" s="38"/>
      <c r="P474" s="38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571" t="s">
        <v>188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"),452340.35)</f>
        <v>452340.35</v>
      </c>
      <c r="O475" s="38"/>
      <c r="P475" s="38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571" t="s">
        <v>189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"),361443)</f>
        <v>361443</v>
      </c>
      <c r="O476" s="38"/>
      <c r="P476" s="38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599"/>
      <c r="C478" s="599"/>
      <c r="D478" s="599"/>
      <c r="E478" s="601" t="s">
        <v>18</v>
      </c>
      <c r="F478" s="599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599"/>
      <c r="C479" s="599"/>
      <c r="D479" s="599"/>
      <c r="E479" s="601" t="s">
        <v>19</v>
      </c>
      <c r="F479" s="599"/>
      <c r="G479" s="597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03"/>
      <c r="C480" s="569" t="s">
        <v>16</v>
      </c>
      <c r="D480" s="615" t="s">
        <v>38</v>
      </c>
      <c r="E480" s="605"/>
      <c r="F480" s="606"/>
      <c r="G480" s="607"/>
      <c r="H480" s="175"/>
      <c r="I480" s="37"/>
      <c r="J480" s="37"/>
      <c r="K480" s="38"/>
      <c r="L480" s="38"/>
      <c r="M480" s="38"/>
      <c r="N480" s="38"/>
      <c r="O480" s="38"/>
      <c r="P480" s="38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03"/>
      <c r="C481" s="603"/>
      <c r="D481" s="616" t="s">
        <v>206</v>
      </c>
      <c r="E481" s="603"/>
      <c r="F481" s="603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03"/>
      <c r="C482" s="603"/>
      <c r="D482" s="603"/>
      <c r="E482" s="612" t="s">
        <v>207</v>
      </c>
      <c r="F482" s="603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03"/>
      <c r="C483" s="603"/>
      <c r="D483" s="603"/>
      <c r="E483" s="603"/>
      <c r="F483" s="612" t="s">
        <v>208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"),9527)</f>
        <v>9527</v>
      </c>
      <c r="K483" s="38">
        <f ca="1">IF(I483&gt;0,J483*100/I483,0)</f>
        <v>55.71345029239766</v>
      </c>
      <c r="L483" s="38"/>
      <c r="M483" s="38"/>
      <c r="N483" s="38"/>
      <c r="O483" s="38"/>
      <c r="P483" s="38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03"/>
      <c r="C484" s="603"/>
      <c r="D484" s="603"/>
      <c r="E484" s="603"/>
      <c r="F484" s="612" t="s">
        <v>209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"),277)</f>
        <v>277</v>
      </c>
      <c r="K484" s="38"/>
      <c r="L484" s="38"/>
      <c r="M484" s="38"/>
      <c r="N484" s="38"/>
      <c r="O484" s="38"/>
      <c r="P484" s="38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03"/>
      <c r="C485" s="603"/>
      <c r="D485" s="603"/>
      <c r="E485" s="603"/>
      <c r="F485" s="612" t="s">
        <v>210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"),1109)</f>
        <v>1109</v>
      </c>
      <c r="K485" s="38">
        <f ca="1">IF(I485&gt;0,J485*100/I485,0)</f>
        <v>64.853801169590639</v>
      </c>
      <c r="L485" s="38"/>
      <c r="M485" s="38"/>
      <c r="N485" s="38"/>
      <c r="O485" s="38"/>
      <c r="P485" s="38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03"/>
      <c r="C486" s="603"/>
      <c r="D486" s="603"/>
      <c r="E486" s="612" t="s">
        <v>62</v>
      </c>
      <c r="F486" s="603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03"/>
      <c r="C487" s="603"/>
      <c r="D487" s="603"/>
      <c r="E487" s="603"/>
      <c r="F487" s="612" t="s">
        <v>208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"),1107)</f>
        <v>1107</v>
      </c>
      <c r="K487" s="38">
        <f ca="1">IF(I487&gt;0,J487*100/I487,0)</f>
        <v>58.263157894736842</v>
      </c>
      <c r="L487" s="38"/>
      <c r="M487" s="38"/>
      <c r="N487" s="38"/>
      <c r="O487" s="38"/>
      <c r="P487" s="38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03"/>
      <c r="C488" s="603"/>
      <c r="D488" s="603"/>
      <c r="E488" s="603"/>
      <c r="F488" s="612" t="s">
        <v>211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"),39)</f>
        <v>39</v>
      </c>
      <c r="K488" s="38"/>
      <c r="L488" s="38"/>
      <c r="M488" s="38"/>
      <c r="N488" s="38"/>
      <c r="O488" s="38"/>
      <c r="P488" s="38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03"/>
      <c r="C489" s="603"/>
      <c r="D489" s="603"/>
      <c r="E489" s="603"/>
      <c r="F489" s="612" t="s">
        <v>212</v>
      </c>
      <c r="G489" s="175"/>
      <c r="H489" s="617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"),154)</f>
        <v>154</v>
      </c>
      <c r="K489" s="38">
        <f ca="1">IF(I489&gt;0,J489*100/I489,0)</f>
        <v>81.05263157894737</v>
      </c>
      <c r="L489" s="38"/>
      <c r="M489" s="38"/>
      <c r="N489" s="38"/>
      <c r="O489" s="38"/>
      <c r="P489" s="38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03"/>
      <c r="C490" s="603"/>
      <c r="D490" s="603"/>
      <c r="E490" s="612" t="s">
        <v>63</v>
      </c>
      <c r="F490" s="618"/>
      <c r="G490" s="175"/>
      <c r="H490" s="617"/>
      <c r="I490" s="37"/>
      <c r="J490" s="37"/>
      <c r="K490" s="38"/>
      <c r="L490" s="38"/>
      <c r="M490" s="38"/>
      <c r="N490" s="38"/>
      <c r="O490" s="38"/>
      <c r="P490" s="38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03"/>
      <c r="C491" s="603"/>
      <c r="D491" s="603"/>
      <c r="E491" s="603"/>
      <c r="F491" s="612" t="s">
        <v>213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"),3)</f>
        <v>3</v>
      </c>
      <c r="K491" s="38"/>
      <c r="L491" s="38"/>
      <c r="M491" s="38"/>
      <c r="N491" s="38"/>
      <c r="O491" s="38"/>
      <c r="P491" s="38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03"/>
      <c r="C492" s="603"/>
      <c r="D492" s="603"/>
      <c r="E492" s="603"/>
      <c r="F492" s="612" t="s">
        <v>214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"),13)</f>
        <v>13</v>
      </c>
      <c r="K492" s="38">
        <f ca="1">IF(I492&gt;0,J492*100/I492,0)</f>
        <v>65</v>
      </c>
      <c r="L492" s="38"/>
      <c r="M492" s="38"/>
      <c r="N492" s="38"/>
      <c r="O492" s="38"/>
      <c r="P492" s="38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03"/>
      <c r="C493" s="603"/>
      <c r="D493" s="619" t="s">
        <v>59</v>
      </c>
      <c r="E493" s="603"/>
      <c r="F493" s="613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03"/>
      <c r="C494" s="603"/>
      <c r="D494" s="603"/>
      <c r="E494" s="612" t="s">
        <v>207</v>
      </c>
      <c r="F494" s="613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03"/>
      <c r="C495" s="603"/>
      <c r="D495" s="603"/>
      <c r="E495" s="603"/>
      <c r="F495" s="187" t="s">
        <v>215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"),0)</f>
        <v>0</v>
      </c>
      <c r="K495" s="38">
        <f ca="1">IF(I495&gt;0,J495*100/I495,0)</f>
        <v>0</v>
      </c>
      <c r="L495" s="38"/>
      <c r="M495" s="38"/>
      <c r="N495" s="38"/>
      <c r="O495" s="38"/>
      <c r="P495" s="38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03"/>
      <c r="C496" s="603"/>
      <c r="D496" s="603"/>
      <c r="E496" s="603"/>
      <c r="F496" s="187" t="s">
        <v>216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"),0)</f>
        <v>0</v>
      </c>
      <c r="K496" s="38"/>
      <c r="L496" s="38"/>
      <c r="M496" s="38"/>
      <c r="N496" s="38"/>
      <c r="O496" s="38"/>
      <c r="P496" s="38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03"/>
      <c r="C497" s="603"/>
      <c r="D497" s="603"/>
      <c r="E497" s="612" t="s">
        <v>62</v>
      </c>
      <c r="F497" s="613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03"/>
      <c r="C498" s="603"/>
      <c r="D498" s="603"/>
      <c r="E498" s="613"/>
      <c r="F498" s="620" t="s">
        <v>217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"),0)</f>
        <v>0</v>
      </c>
      <c r="K498" s="38">
        <f ca="1">IF(I498&gt;0,J498*100/I498,0)</f>
        <v>0</v>
      </c>
      <c r="L498" s="38"/>
      <c r="M498" s="38"/>
      <c r="N498" s="38"/>
      <c r="O498" s="38"/>
      <c r="P498" s="38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03"/>
      <c r="C499" s="603"/>
      <c r="D499" s="603"/>
      <c r="E499" s="613"/>
      <c r="F499" s="620" t="s">
        <v>218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"),0)</f>
        <v>0</v>
      </c>
      <c r="K499" s="38"/>
      <c r="L499" s="38"/>
      <c r="M499" s="38"/>
      <c r="N499" s="38"/>
      <c r="O499" s="38"/>
      <c r="P499" s="38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47">J516</f>
        <v>0</v>
      </c>
      <c r="K500" s="628">
        <f t="shared" ref="K500:K501" si="248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1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47"/>
        <v>0</v>
      </c>
      <c r="K501" s="637">
        <f t="shared" si="248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594"/>
      <c r="C502" s="594" t="s">
        <v>16</v>
      </c>
      <c r="D502" s="892" t="s">
        <v>17</v>
      </c>
      <c r="E502" s="888"/>
      <c r="F502" s="888"/>
      <c r="G502" s="597"/>
      <c r="H502" s="640" t="s">
        <v>12</v>
      </c>
      <c r="I502" s="44"/>
      <c r="J502" s="44"/>
      <c r="K502" s="45"/>
      <c r="L502" s="641">
        <f t="shared" ref="L502:N502" si="249">L503+L504</f>
        <v>0</v>
      </c>
      <c r="M502" s="641">
        <f t="shared" si="249"/>
        <v>0</v>
      </c>
      <c r="N502" s="641">
        <f t="shared" si="249"/>
        <v>0</v>
      </c>
      <c r="O502" s="641">
        <f t="shared" ref="O502:O507" si="250">IF(L502&gt;0,N502*100/L502,0)</f>
        <v>0</v>
      </c>
      <c r="P502" s="641">
        <f t="shared" ref="P502:P507" si="251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594"/>
      <c r="C503" s="594"/>
      <c r="D503" s="595"/>
      <c r="E503" s="596" t="s">
        <v>184</v>
      </c>
      <c r="F503" s="594"/>
      <c r="G503" s="597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599"/>
      <c r="C504" s="594"/>
      <c r="D504" s="595"/>
      <c r="E504" s="596" t="s">
        <v>185</v>
      </c>
      <c r="F504" s="594"/>
      <c r="G504" s="597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599"/>
      <c r="C505" s="594"/>
      <c r="D505" s="642" t="s">
        <v>20</v>
      </c>
      <c r="E505" s="594"/>
      <c r="F505" s="594"/>
      <c r="G505" s="597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599"/>
      <c r="C506" s="594"/>
      <c r="D506" s="595"/>
      <c r="E506" s="596" t="s">
        <v>184</v>
      </c>
      <c r="F506" s="594"/>
      <c r="G506" s="597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599"/>
      <c r="C507" s="594"/>
      <c r="D507" s="595"/>
      <c r="E507" s="596" t="s">
        <v>185</v>
      </c>
      <c r="F507" s="594"/>
      <c r="G507" s="597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599"/>
      <c r="C508" s="594"/>
      <c r="D508" s="594"/>
      <c r="E508" s="594"/>
      <c r="F508" s="596" t="s">
        <v>186</v>
      </c>
      <c r="G508" s="597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599"/>
      <c r="C509" s="594"/>
      <c r="D509" s="594"/>
      <c r="E509" s="594"/>
      <c r="F509" s="596" t="s">
        <v>187</v>
      </c>
      <c r="G509" s="597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599"/>
      <c r="C510" s="599"/>
      <c r="D510" s="599"/>
      <c r="E510" s="594"/>
      <c r="F510" s="596" t="s">
        <v>188</v>
      </c>
      <c r="G510" s="597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599"/>
      <c r="C511" s="599"/>
      <c r="D511" s="599"/>
      <c r="E511" s="594"/>
      <c r="F511" s="596" t="s">
        <v>189</v>
      </c>
      <c r="G511" s="597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599"/>
      <c r="C512" s="599"/>
      <c r="D512" s="642" t="s">
        <v>21</v>
      </c>
      <c r="E512" s="599"/>
      <c r="F512" s="594"/>
      <c r="G512" s="597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599"/>
      <c r="C513" s="599"/>
      <c r="D513" s="599"/>
      <c r="E513" s="601" t="s">
        <v>18</v>
      </c>
      <c r="F513" s="594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599"/>
      <c r="C514" s="599"/>
      <c r="D514" s="594"/>
      <c r="E514" s="601" t="s">
        <v>19</v>
      </c>
      <c r="F514" s="594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09"/>
      <c r="C515" s="599" t="s">
        <v>16</v>
      </c>
      <c r="D515" s="644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09"/>
      <c r="C516" s="609"/>
      <c r="D516" s="610" t="s">
        <v>221</v>
      </c>
      <c r="E516" s="595"/>
      <c r="F516" s="595"/>
      <c r="G516" s="366"/>
      <c r="H516" s="647" t="s">
        <v>109</v>
      </c>
      <c r="I516" s="44"/>
      <c r="J516" s="611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09"/>
      <c r="C517" s="609"/>
      <c r="D517" s="610" t="s">
        <v>222</v>
      </c>
      <c r="E517" s="595"/>
      <c r="F517" s="595"/>
      <c r="G517" s="366"/>
      <c r="H517" s="648" t="s">
        <v>35</v>
      </c>
      <c r="I517" s="649"/>
      <c r="J517" s="649">
        <f>J518+J519</f>
        <v>0</v>
      </c>
      <c r="K517" s="650">
        <f t="shared" si="258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09"/>
      <c r="C518" s="609"/>
      <c r="D518" s="609"/>
      <c r="E518" s="610" t="s">
        <v>223</v>
      </c>
      <c r="F518" s="595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09"/>
      <c r="C519" s="609"/>
      <c r="D519" s="609"/>
      <c r="E519" s="610" t="s">
        <v>224</v>
      </c>
      <c r="F519" s="595"/>
      <c r="G519" s="366"/>
      <c r="H519" s="647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670">
        <f t="shared" ref="I522:J522" ca="1" si="259">I537</f>
        <v>80</v>
      </c>
      <c r="J522" s="670">
        <f t="shared" ca="1" si="259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570"/>
      <c r="C523" s="570" t="s">
        <v>16</v>
      </c>
      <c r="D523" s="887" t="s">
        <v>17</v>
      </c>
      <c r="E523" s="888"/>
      <c r="F523" s="888"/>
      <c r="G523" s="189"/>
      <c r="H523" s="592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si="260"/>
        <v>0</v>
      </c>
      <c r="N523" s="195">
        <f t="shared" ca="1" si="260"/>
        <v>106970</v>
      </c>
      <c r="O523" s="195">
        <f t="shared" ref="O523:O528" ca="1" si="261">IF(L523&gt;0,N523*100/L523,0)</f>
        <v>15.179078215461461</v>
      </c>
      <c r="P523" s="195">
        <f t="shared" ref="P523:P528" si="262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594"/>
      <c r="C524" s="594"/>
      <c r="D524" s="595"/>
      <c r="E524" s="596" t="s">
        <v>184</v>
      </c>
      <c r="F524" s="594"/>
      <c r="G524" s="597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599"/>
      <c r="C525" s="594"/>
      <c r="D525" s="595"/>
      <c r="E525" s="596" t="s">
        <v>185</v>
      </c>
      <c r="F525" s="594"/>
      <c r="G525" s="597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si="264"/>
        <v>0</v>
      </c>
      <c r="N525" s="45">
        <f t="shared" ca="1" si="264"/>
        <v>106970</v>
      </c>
      <c r="O525" s="45">
        <f t="shared" ca="1" si="261"/>
        <v>15.179078215461461</v>
      </c>
      <c r="P525" s="45">
        <f t="shared" si="262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570"/>
      <c r="D526" s="600" t="s">
        <v>20</v>
      </c>
      <c r="E526" s="570"/>
      <c r="F526" s="570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si="265"/>
        <v>0</v>
      </c>
      <c r="N526" s="38">
        <f t="shared" ca="1" si="265"/>
        <v>106970</v>
      </c>
      <c r="O526" s="38">
        <f t="shared" ca="1" si="261"/>
        <v>15.179078215461461</v>
      </c>
      <c r="P526" s="38">
        <f t="shared" si="262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599"/>
      <c r="C527" s="594"/>
      <c r="D527" s="595"/>
      <c r="E527" s="596" t="s">
        <v>184</v>
      </c>
      <c r="F527" s="594"/>
      <c r="G527" s="597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599"/>
      <c r="C528" s="594"/>
      <c r="D528" s="595"/>
      <c r="E528" s="596" t="s">
        <v>185</v>
      </c>
      <c r="F528" s="594"/>
      <c r="G528" s="597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v>0</v>
      </c>
      <c r="N528" s="45">
        <f ca="1">N529+N530+N531+N532</f>
        <v>106970</v>
      </c>
      <c r="O528" s="45">
        <f t="shared" ca="1" si="261"/>
        <v>15.179078215461461</v>
      </c>
      <c r="P528" s="45">
        <f t="shared" si="262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570"/>
      <c r="D529" s="570"/>
      <c r="E529" s="570"/>
      <c r="F529" s="571" t="s">
        <v>186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"),102230)</f>
        <v>102230</v>
      </c>
      <c r="O529" s="38"/>
      <c r="P529" s="38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570"/>
      <c r="D530" s="570"/>
      <c r="E530" s="570"/>
      <c r="F530" s="571" t="s">
        <v>187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"),0)</f>
        <v>0</v>
      </c>
      <c r="O530" s="38"/>
      <c r="P530" s="38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570"/>
      <c r="D531" s="570"/>
      <c r="E531" s="570"/>
      <c r="F531" s="571" t="s">
        <v>188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570"/>
      <c r="D532" s="570"/>
      <c r="E532" s="570"/>
      <c r="F532" s="571" t="s">
        <v>189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"),4740)</f>
        <v>4740</v>
      </c>
      <c r="O532" s="38"/>
      <c r="P532" s="38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570"/>
      <c r="D533" s="600" t="s">
        <v>21</v>
      </c>
      <c r="E533" s="570"/>
      <c r="F533" s="570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599"/>
      <c r="C534" s="594"/>
      <c r="D534" s="594"/>
      <c r="E534" s="596" t="s">
        <v>18</v>
      </c>
      <c r="F534" s="594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599"/>
      <c r="C535" s="594"/>
      <c r="D535" s="594"/>
      <c r="E535" s="596" t="s">
        <v>19</v>
      </c>
      <c r="F535" s="594"/>
      <c r="G535" s="597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03"/>
      <c r="C536" s="570" t="s">
        <v>16</v>
      </c>
      <c r="D536" s="673" t="s">
        <v>38</v>
      </c>
      <c r="E536" s="606"/>
      <c r="F536" s="606"/>
      <c r="G536" s="607"/>
      <c r="H536" s="175"/>
      <c r="I536" s="162"/>
      <c r="J536" s="162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570"/>
      <c r="D537" s="674" t="s">
        <v>227</v>
      </c>
      <c r="E537" s="570"/>
      <c r="F537" s="570"/>
      <c r="G537" s="189"/>
      <c r="H537" s="36" t="s">
        <v>35</v>
      </c>
      <c r="I537" s="675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IF(AND(J538=I538,J539=I539,J540=I540,J541=I541),I537,0)</f>
        <v>0</v>
      </c>
      <c r="K537" s="195">
        <f t="shared" ref="K537:K543" ca="1" si="269">IF(I537&gt;0,J537*100/I537,0)</f>
        <v>0</v>
      </c>
      <c r="L537" s="38"/>
      <c r="M537" s="38"/>
      <c r="N537" s="38"/>
      <c r="O537" s="38"/>
      <c r="P537" s="38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570"/>
      <c r="D538" s="571"/>
      <c r="E538" s="677" t="s">
        <v>228</v>
      </c>
      <c r="F538" s="570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"),30)</f>
        <v>30</v>
      </c>
      <c r="K538" s="38">
        <f t="shared" ca="1" si="269"/>
        <v>37.5</v>
      </c>
      <c r="L538" s="38"/>
      <c r="M538" s="38"/>
      <c r="N538" s="38"/>
      <c r="O538" s="38"/>
      <c r="P538" s="38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570"/>
      <c r="D539" s="571"/>
      <c r="E539" s="677" t="s">
        <v>229</v>
      </c>
      <c r="F539" s="570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570"/>
      <c r="D540" s="571"/>
      <c r="E540" s="677" t="s">
        <v>230</v>
      </c>
      <c r="F540" s="570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570"/>
      <c r="D541" s="571"/>
      <c r="E541" s="678" t="s">
        <v>231</v>
      </c>
      <c r="F541" s="570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"),30)</f>
        <v>30</v>
      </c>
      <c r="K541" s="38">
        <f t="shared" ca="1" si="269"/>
        <v>37.5</v>
      </c>
      <c r="L541" s="38"/>
      <c r="M541" s="38"/>
      <c r="N541" s="38"/>
      <c r="O541" s="38"/>
      <c r="P541" s="38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570"/>
      <c r="D542" s="571" t="s">
        <v>59</v>
      </c>
      <c r="E542" s="570"/>
      <c r="F542" s="570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"),0)</f>
        <v>0</v>
      </c>
      <c r="K542" s="38">
        <f t="shared" ca="1" si="269"/>
        <v>0</v>
      </c>
      <c r="L542" s="38"/>
      <c r="M542" s="38"/>
      <c r="N542" s="38"/>
      <c r="O542" s="38"/>
      <c r="P542" s="38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70">I559</f>
        <v>1172953</v>
      </c>
      <c r="J543" s="681">
        <f t="shared" ca="1" si="270"/>
        <v>89036.62</v>
      </c>
      <c r="K543" s="682">
        <f t="shared" ca="1" si="269"/>
        <v>7.590808838887833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889" t="s">
        <v>17</v>
      </c>
      <c r="E544" s="890"/>
      <c r="F544" s="890"/>
      <c r="G544" s="685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si="271"/>
        <v>0</v>
      </c>
      <c r="N544" s="155">
        <f t="shared" ca="1" si="271"/>
        <v>2540216.0900000003</v>
      </c>
      <c r="O544" s="155">
        <f t="shared" ref="O544:O549" ca="1" si="272">IF(L544&gt;0,N544*100/L544,0)</f>
        <v>25.792522997815034</v>
      </c>
      <c r="P544" s="155">
        <f t="shared" ref="P544:P549" si="273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594"/>
      <c r="C545" s="594"/>
      <c r="D545" s="594"/>
      <c r="E545" s="596" t="s">
        <v>184</v>
      </c>
      <c r="F545" s="594"/>
      <c r="G545" s="597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599"/>
      <c r="C546" s="594"/>
      <c r="D546" s="594"/>
      <c r="E546" s="596" t="s">
        <v>185</v>
      </c>
      <c r="F546" s="594"/>
      <c r="G546" s="597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si="276">M549+M556</f>
        <v>0</v>
      </c>
      <c r="N546" s="45">
        <f t="shared" ca="1" si="276"/>
        <v>2540216.0900000003</v>
      </c>
      <c r="O546" s="45">
        <f t="shared" ca="1" si="272"/>
        <v>25.792522997815034</v>
      </c>
      <c r="P546" s="45">
        <f t="shared" si="273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570"/>
      <c r="D547" s="600" t="s">
        <v>20</v>
      </c>
      <c r="E547" s="570"/>
      <c r="F547" s="570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si="277"/>
        <v>0</v>
      </c>
      <c r="N547" s="38">
        <f t="shared" ca="1" si="277"/>
        <v>2540216.0900000003</v>
      </c>
      <c r="O547" s="38">
        <f t="shared" ca="1" si="272"/>
        <v>25.792522997815034</v>
      </c>
      <c r="P547" s="38">
        <f t="shared" si="273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599"/>
      <c r="C548" s="594"/>
      <c r="D548" s="595"/>
      <c r="E548" s="596" t="s">
        <v>184</v>
      </c>
      <c r="F548" s="594"/>
      <c r="G548" s="597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599"/>
      <c r="C549" s="594"/>
      <c r="D549" s="595"/>
      <c r="E549" s="596" t="s">
        <v>185</v>
      </c>
      <c r="F549" s="594"/>
      <c r="G549" s="597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v>0</v>
      </c>
      <c r="N549" s="45">
        <f ca="1">N550+N551+N552+N553+N554</f>
        <v>2540216.0900000003</v>
      </c>
      <c r="O549" s="45">
        <f t="shared" ca="1" si="272"/>
        <v>25.792522997815034</v>
      </c>
      <c r="P549" s="45">
        <f t="shared" si="273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570"/>
      <c r="D550" s="570"/>
      <c r="E550" s="570"/>
      <c r="F550" s="571" t="s">
        <v>186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570"/>
      <c r="F551" s="571" t="s">
        <v>187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"),44990)</f>
        <v>44990</v>
      </c>
      <c r="O551" s="38"/>
      <c r="P551" s="38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570"/>
      <c r="D552" s="570"/>
      <c r="E552" s="570"/>
      <c r="F552" s="571" t="s">
        <v>188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"),761732.52)</f>
        <v>761732.52</v>
      </c>
      <c r="O552" s="38"/>
      <c r="P552" s="38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570"/>
      <c r="F553" s="571" t="s">
        <v>189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"),1652260.97)</f>
        <v>1652260.97</v>
      </c>
      <c r="O553" s="38"/>
      <c r="P553" s="38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570"/>
      <c r="F554" s="571" t="s">
        <v>233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"),81232.6)</f>
        <v>81232.600000000006</v>
      </c>
      <c r="O554" s="38"/>
      <c r="P554" s="38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570"/>
      <c r="F555" s="570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599"/>
      <c r="C556" s="599"/>
      <c r="D556" s="594"/>
      <c r="E556" s="596" t="s">
        <v>18</v>
      </c>
      <c r="F556" s="594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599"/>
      <c r="C557" s="599"/>
      <c r="D557" s="594"/>
      <c r="E557" s="596" t="s">
        <v>19</v>
      </c>
      <c r="F557" s="594"/>
      <c r="G557" s="597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03"/>
      <c r="C558" s="569" t="s">
        <v>16</v>
      </c>
      <c r="D558" s="673" t="s">
        <v>38</v>
      </c>
      <c r="E558" s="606"/>
      <c r="F558" s="606"/>
      <c r="G558" s="607"/>
      <c r="H558" s="175"/>
      <c r="I558" s="162"/>
      <c r="J558" s="162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670">
        <f t="shared" ref="I559:J559" ca="1" si="281">I576</f>
        <v>1172953</v>
      </c>
      <c r="J559" s="670">
        <f t="shared" ca="1" si="281"/>
        <v>89036.62</v>
      </c>
      <c r="K559" s="671">
        <f t="shared" ref="K559:K561" ca="1" si="282">IF(I559&gt;0,J559*100/I559,0)</f>
        <v>7.590808838887833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03"/>
      <c r="C560" s="616" t="s">
        <v>235</v>
      </c>
      <c r="D560" s="603"/>
      <c r="E560" s="613"/>
      <c r="F560" s="613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864822.72499999998</v>
      </c>
      <c r="K560" s="411">
        <f t="shared" ca="1" si="282"/>
        <v>73.730381780003114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03"/>
      <c r="C561" s="603"/>
      <c r="D561" s="613"/>
      <c r="E561" s="613"/>
      <c r="F561" s="613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"),126148)</f>
        <v>126148</v>
      </c>
      <c r="J561" s="193">
        <f t="shared" ca="1" si="283"/>
        <v>98139</v>
      </c>
      <c r="K561" s="411">
        <f t="shared" ca="1" si="282"/>
        <v>77.79671496971811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03"/>
      <c r="C562" s="603"/>
      <c r="D562" s="187" t="s">
        <v>236</v>
      </c>
      <c r="E562" s="613"/>
      <c r="F562" s="613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"),691051.0825)</f>
        <v>691051.08250000002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03"/>
      <c r="C563" s="603"/>
      <c r="D563" s="603"/>
      <c r="E563" s="613"/>
      <c r="F563" s="613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"),81752)</f>
        <v>81752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03"/>
      <c r="C564" s="603"/>
      <c r="D564" s="187" t="s">
        <v>237</v>
      </c>
      <c r="E564" s="613"/>
      <c r="F564" s="613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"),148142.0175)</f>
        <v>148142.01749999999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03"/>
      <c r="C565" s="603"/>
      <c r="D565" s="613"/>
      <c r="E565" s="613"/>
      <c r="F565" s="613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"),13725)</f>
        <v>13725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03"/>
      <c r="C566" s="603"/>
      <c r="D566" s="187" t="s">
        <v>238</v>
      </c>
      <c r="E566" s="613"/>
      <c r="F566" s="613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"),25629.625)</f>
        <v>25629.625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03"/>
      <c r="C567" s="603"/>
      <c r="D567" s="613"/>
      <c r="E567" s="613"/>
      <c r="F567" s="613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"),2662)</f>
        <v>2662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03"/>
      <c r="C568" s="616" t="s">
        <v>239</v>
      </c>
      <c r="D568" s="613"/>
      <c r="E568" s="613"/>
      <c r="F568" s="613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342591.87999999995</v>
      </c>
      <c r="K568" s="411">
        <f t="shared" ref="K568:K569" ca="1" si="285">IF(I568&gt;0,J568*100/I568,0)</f>
        <v>29.207639180768531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03"/>
      <c r="C569" s="603"/>
      <c r="D569" s="603"/>
      <c r="E569" s="613"/>
      <c r="F569" s="613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"),126148)</f>
        <v>126148</v>
      </c>
      <c r="J569" s="194">
        <f t="shared" ca="1" si="284"/>
        <v>37778</v>
      </c>
      <c r="K569" s="411">
        <f t="shared" ca="1" si="285"/>
        <v>29.94736341440213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03"/>
      <c r="C570" s="603"/>
      <c r="D570" s="187" t="s">
        <v>240</v>
      </c>
      <c r="E570" s="603"/>
      <c r="F570" s="613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"),294515.2225)</f>
        <v>294515.22249999997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03"/>
      <c r="C571" s="603"/>
      <c r="D571" s="603"/>
      <c r="E571" s="613"/>
      <c r="F571" s="613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"),33485)</f>
        <v>33485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03"/>
      <c r="C572" s="603"/>
      <c r="D572" s="187" t="s">
        <v>241</v>
      </c>
      <c r="E572" s="613"/>
      <c r="F572" s="613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"),37718.045)</f>
        <v>37718.044999999998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03"/>
      <c r="C573" s="603"/>
      <c r="D573" s="613"/>
      <c r="E573" s="613"/>
      <c r="F573" s="613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"),3171)</f>
        <v>3171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03"/>
      <c r="C574" s="603"/>
      <c r="D574" s="187" t="s">
        <v>242</v>
      </c>
      <c r="E574" s="613"/>
      <c r="F574" s="613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"),10358.6125)</f>
        <v>10358.612499999999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03"/>
      <c r="C575" s="603"/>
      <c r="D575" s="603"/>
      <c r="E575" s="613"/>
      <c r="F575" s="613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"),1122)</f>
        <v>1122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03"/>
      <c r="C576" s="616" t="s">
        <v>243</v>
      </c>
      <c r="D576" s="603"/>
      <c r="E576" s="603"/>
      <c r="F576" s="613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89036.62</v>
      </c>
      <c r="K576" s="411">
        <f t="shared" ref="K576:K577" ca="1" si="287">IF(I576&gt;0,J576*100/I576,0)</f>
        <v>7.590808838887833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03"/>
      <c r="C577" s="603"/>
      <c r="D577" s="603"/>
      <c r="E577" s="613"/>
      <c r="F577" s="613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"),126148)</f>
        <v>126148</v>
      </c>
      <c r="J577" s="194">
        <f t="shared" ca="1" si="286"/>
        <v>10321</v>
      </c>
      <c r="K577" s="411">
        <f t="shared" ca="1" si="287"/>
        <v>8.1816596378856588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03"/>
      <c r="C578" s="603"/>
      <c r="D578" s="187" t="s">
        <v>244</v>
      </c>
      <c r="E578" s="613"/>
      <c r="F578" s="613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"),80140.4925)</f>
        <v>80140.492499999993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03"/>
      <c r="C579" s="603"/>
      <c r="D579" s="603"/>
      <c r="E579" s="613"/>
      <c r="F579" s="613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"),9529)</f>
        <v>9529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03"/>
      <c r="C580" s="603"/>
      <c r="D580" s="187" t="s">
        <v>245</v>
      </c>
      <c r="E580" s="613"/>
      <c r="F580" s="613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"),6988.205)</f>
        <v>6988.2049999999999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03"/>
      <c r="C581" s="603"/>
      <c r="D581" s="603"/>
      <c r="E581" s="613"/>
      <c r="F581" s="613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"),555)</f>
        <v>555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03"/>
      <c r="C582" s="603"/>
      <c r="D582" s="187" t="s">
        <v>246</v>
      </c>
      <c r="E582" s="613"/>
      <c r="F582" s="613"/>
      <c r="G582" s="175"/>
      <c r="H582" s="182" t="s">
        <v>46</v>
      </c>
      <c r="I582" s="162"/>
      <c r="J582" s="194">
        <f t="shared" ref="J582:J583" ca="1" si="288">J584+J586</f>
        <v>1907.9224999999999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03"/>
      <c r="C583" s="603"/>
      <c r="D583" s="603"/>
      <c r="E583" s="613"/>
      <c r="F583" s="613"/>
      <c r="G583" s="175"/>
      <c r="H583" s="182" t="s">
        <v>34</v>
      </c>
      <c r="I583" s="162"/>
      <c r="J583" s="194">
        <f t="shared" ca="1" si="288"/>
        <v>237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03"/>
      <c r="C584" s="603"/>
      <c r="D584" s="603"/>
      <c r="E584" s="187" t="s">
        <v>247</v>
      </c>
      <c r="F584" s="613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"),1869.205)</f>
        <v>1869.2049999999999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03"/>
      <c r="C585" s="603"/>
      <c r="D585" s="603"/>
      <c r="E585" s="613"/>
      <c r="F585" s="613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"),234)</f>
        <v>234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03"/>
      <c r="C586" s="603"/>
      <c r="D586" s="603"/>
      <c r="E586" s="187" t="s">
        <v>248</v>
      </c>
      <c r="F586" s="613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"),38.7175)</f>
        <v>38.717500000000001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03"/>
      <c r="C587" s="603"/>
      <c r="D587" s="603"/>
      <c r="E587" s="603"/>
      <c r="F587" s="613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"),3)</f>
        <v>3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03"/>
      <c r="C588" s="603"/>
      <c r="D588" s="187" t="s">
        <v>249</v>
      </c>
      <c r="E588" s="613"/>
      <c r="F588" s="613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"),0)</f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03"/>
      <c r="C589" s="603"/>
      <c r="D589" s="603"/>
      <c r="E589" s="603"/>
      <c r="F589" s="613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"),0)</f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03"/>
      <c r="C590" s="603"/>
      <c r="D590" s="187" t="s">
        <v>250</v>
      </c>
      <c r="E590" s="613"/>
      <c r="F590" s="613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89">I593</f>
        <v>78677.899999999994</v>
      </c>
      <c r="J592" s="670">
        <f t="shared" ca="1" si="289"/>
        <v>1806.58</v>
      </c>
      <c r="K592" s="671">
        <f t="shared" ref="K592:K594" ca="1" si="290">IF(I592&gt;0,J592*100/I592,0)</f>
        <v>2.2961721144056972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03"/>
      <c r="C593" s="616" t="s">
        <v>252</v>
      </c>
      <c r="D593" s="603"/>
      <c r="E593" s="603"/>
      <c r="F593" s="613"/>
      <c r="G593" s="175"/>
      <c r="H593" s="192" t="s">
        <v>46</v>
      </c>
      <c r="I593" s="698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1806.58</v>
      </c>
      <c r="K593" s="411">
        <f t="shared" ca="1" si="290"/>
        <v>2.2961721144056972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03"/>
      <c r="C594" s="603"/>
      <c r="D594" s="603"/>
      <c r="E594" s="613"/>
      <c r="F594" s="613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146</v>
      </c>
      <c r="K594" s="411">
        <f t="shared" ca="1" si="290"/>
        <v>2.1147161066048668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03"/>
      <c r="C595" s="612" t="s">
        <v>253</v>
      </c>
      <c r="D595" s="603"/>
      <c r="E595" s="603"/>
      <c r="F595" s="613"/>
      <c r="G595" s="175"/>
      <c r="H595" s="182" t="s">
        <v>46</v>
      </c>
      <c r="I595" s="162"/>
      <c r="J595" s="162">
        <f t="shared" ref="J595:J596" ca="1" si="292">J597+J599</f>
        <v>1400.58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03"/>
      <c r="C596" s="603"/>
      <c r="D596" s="603"/>
      <c r="E596" s="613"/>
      <c r="F596" s="613"/>
      <c r="G596" s="175"/>
      <c r="H596" s="182" t="s">
        <v>34</v>
      </c>
      <c r="I596" s="162"/>
      <c r="J596" s="162">
        <f t="shared" ca="1" si="292"/>
        <v>118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03"/>
      <c r="C597" s="603"/>
      <c r="D597" s="263" t="s">
        <v>254</v>
      </c>
      <c r="E597" s="613"/>
      <c r="F597" s="613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"),1150.58)</f>
        <v>1150.58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03"/>
      <c r="C598" s="603"/>
      <c r="D598" s="603"/>
      <c r="E598" s="613"/>
      <c r="F598" s="613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"),104)</f>
        <v>104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03"/>
      <c r="C599" s="603"/>
      <c r="D599" s="263" t="s">
        <v>255</v>
      </c>
      <c r="E599" s="613"/>
      <c r="F599" s="613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"),250)</f>
        <v>250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03"/>
      <c r="C600" s="603"/>
      <c r="D600" s="603"/>
      <c r="E600" s="613"/>
      <c r="F600" s="613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"),14)</f>
        <v>14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03"/>
      <c r="C601" s="603"/>
      <c r="D601" s="263" t="s">
        <v>256</v>
      </c>
      <c r="E601" s="613"/>
      <c r="F601" s="613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"),11)</f>
        <v>11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03"/>
      <c r="C602" s="603"/>
      <c r="D602" s="603"/>
      <c r="E602" s="613"/>
      <c r="F602" s="613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"),1)</f>
        <v>1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03"/>
      <c r="C603" s="699" t="s">
        <v>257</v>
      </c>
      <c r="D603" s="603"/>
      <c r="E603" s="603"/>
      <c r="F603" s="613"/>
      <c r="G603" s="175"/>
      <c r="H603" s="182" t="s">
        <v>46</v>
      </c>
      <c r="I603" s="37"/>
      <c r="J603" s="37">
        <f t="shared" ref="J603:J604" ca="1" si="293">J605+J607</f>
        <v>320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03"/>
      <c r="C604" s="603"/>
      <c r="D604" s="603"/>
      <c r="E604" s="613"/>
      <c r="F604" s="613"/>
      <c r="G604" s="175"/>
      <c r="H604" s="182" t="s">
        <v>34</v>
      </c>
      <c r="I604" s="37"/>
      <c r="J604" s="37">
        <f t="shared" ca="1" si="293"/>
        <v>19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03"/>
      <c r="C605" s="603"/>
      <c r="D605" s="699" t="s">
        <v>258</v>
      </c>
      <c r="E605" s="613"/>
      <c r="F605" s="613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"),4)</f>
        <v>4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03"/>
      <c r="C606" s="603"/>
      <c r="D606" s="603"/>
      <c r="E606" s="603"/>
      <c r="F606" s="613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"),1)</f>
        <v>1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03"/>
      <c r="C607" s="603"/>
      <c r="D607" s="699" t="s">
        <v>259</v>
      </c>
      <c r="E607" s="603"/>
      <c r="F607" s="613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"),316)</f>
        <v>316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03"/>
      <c r="C608" s="603"/>
      <c r="D608" s="603"/>
      <c r="E608" s="613"/>
      <c r="F608" s="613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"),18)</f>
        <v>18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03"/>
      <c r="C609" s="612" t="s">
        <v>260</v>
      </c>
      <c r="D609" s="603"/>
      <c r="E609" s="603"/>
      <c r="F609" s="613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"),86)</f>
        <v>86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03"/>
      <c r="C610" s="603"/>
      <c r="D610" s="603"/>
      <c r="E610" s="613"/>
      <c r="F610" s="613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"),9)</f>
        <v>9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670">
        <f>J614+J616</f>
        <v>0</v>
      </c>
      <c r="K611" s="671">
        <f t="shared" ref="K611:K613" si="294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04"/>
      <c r="C612" s="705" t="s">
        <v>262</v>
      </c>
      <c r="D612" s="704"/>
      <c r="E612" s="704"/>
      <c r="F612" s="706"/>
      <c r="G612" s="707"/>
      <c r="H612" s="708" t="s">
        <v>46</v>
      </c>
      <c r="I612" s="709">
        <v>0</v>
      </c>
      <c r="J612" s="710">
        <f t="shared" ref="J612:J613" si="295">J614+J616</f>
        <v>0</v>
      </c>
      <c r="K612" s="711">
        <f t="shared" si="294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04"/>
      <c r="C613" s="713" t="s">
        <v>263</v>
      </c>
      <c r="D613" s="704"/>
      <c r="E613" s="704"/>
      <c r="F613" s="706"/>
      <c r="G613" s="707"/>
      <c r="H613" s="708" t="s">
        <v>34</v>
      </c>
      <c r="I613" s="709">
        <v>0</v>
      </c>
      <c r="J613" s="710">
        <f t="shared" si="295"/>
        <v>0</v>
      </c>
      <c r="K613" s="711">
        <f t="shared" si="294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09"/>
      <c r="C614" s="609"/>
      <c r="D614" s="714" t="s">
        <v>264</v>
      </c>
      <c r="E614" s="609"/>
      <c r="F614" s="595"/>
      <c r="G614" s="366"/>
      <c r="H614" s="370" t="s">
        <v>46</v>
      </c>
      <c r="I614" s="44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09"/>
      <c r="C615" s="609"/>
      <c r="D615" s="609"/>
      <c r="E615" s="609"/>
      <c r="F615" s="595"/>
      <c r="G615" s="366"/>
      <c r="H615" s="370" t="s">
        <v>34</v>
      </c>
      <c r="I615" s="44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09"/>
      <c r="C616" s="609"/>
      <c r="D616" s="715" t="s">
        <v>264</v>
      </c>
      <c r="E616" s="595"/>
      <c r="F616" s="595"/>
      <c r="G616" s="366"/>
      <c r="H616" s="370" t="s">
        <v>46</v>
      </c>
      <c r="I616" s="44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09"/>
      <c r="C617" s="609"/>
      <c r="D617" s="609"/>
      <c r="E617" s="595"/>
      <c r="F617" s="595"/>
      <c r="G617" s="366"/>
      <c r="H617" s="370" t="s">
        <v>34</v>
      </c>
      <c r="I617" s="44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09"/>
      <c r="C618" s="609"/>
      <c r="D618" s="715" t="s">
        <v>265</v>
      </c>
      <c r="E618" s="595"/>
      <c r="F618" s="595"/>
      <c r="G618" s="366"/>
      <c r="H618" s="370" t="s">
        <v>46</v>
      </c>
      <c r="I618" s="44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09"/>
      <c r="C619" s="609"/>
      <c r="D619" s="609"/>
      <c r="E619" s="595"/>
      <c r="F619" s="595"/>
      <c r="G619" s="366"/>
      <c r="H619" s="370" t="s">
        <v>34</v>
      </c>
      <c r="I619" s="44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17"/>
      <c r="C620" s="718" t="s">
        <v>266</v>
      </c>
      <c r="D620" s="717"/>
      <c r="E620" s="717"/>
      <c r="F620" s="719"/>
      <c r="G620" s="720"/>
      <c r="H620" s="721" t="s">
        <v>46</v>
      </c>
      <c r="I620" s="722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"),1310)</f>
        <v>1310</v>
      </c>
      <c r="J620" s="722">
        <f t="shared" ref="J620:J621" ca="1" si="296">J622+J624+J626</f>
        <v>0</v>
      </c>
      <c r="K620" s="723">
        <f t="shared" ref="K620:K621" ca="1" si="297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17"/>
      <c r="C621" s="725" t="s">
        <v>267</v>
      </c>
      <c r="D621" s="717"/>
      <c r="E621" s="717"/>
      <c r="F621" s="719"/>
      <c r="G621" s="720"/>
      <c r="H621" s="721" t="s">
        <v>34</v>
      </c>
      <c r="I621" s="722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"),108)</f>
        <v>108</v>
      </c>
      <c r="J621" s="722">
        <f t="shared" ca="1" si="296"/>
        <v>0</v>
      </c>
      <c r="K621" s="723">
        <f t="shared" ca="1" si="297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03"/>
      <c r="C622" s="603"/>
      <c r="D622" s="263" t="s">
        <v>268</v>
      </c>
      <c r="E622" s="613"/>
      <c r="F622" s="613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"),0)</f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03"/>
      <c r="C623" s="603"/>
      <c r="D623" s="603"/>
      <c r="E623" s="613"/>
      <c r="F623" s="613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"),0)</f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03"/>
      <c r="C624" s="603"/>
      <c r="D624" s="263" t="s">
        <v>264</v>
      </c>
      <c r="E624" s="613"/>
      <c r="F624" s="613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"),0)</f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03"/>
      <c r="C625" s="603"/>
      <c r="D625" s="603"/>
      <c r="E625" s="613"/>
      <c r="F625" s="613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"),0)</f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03"/>
      <c r="C626" s="603"/>
      <c r="D626" s="263" t="s">
        <v>269</v>
      </c>
      <c r="E626" s="613"/>
      <c r="F626" s="613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"),0)</f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"),0)</f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98">I651</f>
        <v>8730</v>
      </c>
      <c r="J628" s="735">
        <f t="shared" ca="1" si="298"/>
        <v>129</v>
      </c>
      <c r="K628" s="736">
        <f ca="1">IF(I628&gt;0,J628*100/I628,0)</f>
        <v>1.4776632302405499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570"/>
      <c r="C629" s="570" t="s">
        <v>16</v>
      </c>
      <c r="D629" s="887" t="s">
        <v>17</v>
      </c>
      <c r="E629" s="888"/>
      <c r="F629" s="888"/>
      <c r="G629" s="189"/>
      <c r="H629" s="592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si="299"/>
        <v>0</v>
      </c>
      <c r="N629" s="195">
        <f t="shared" ca="1" si="299"/>
        <v>3470130.82</v>
      </c>
      <c r="O629" s="195">
        <f t="shared" ref="O629:O634" ca="1" si="300">IF(L629&gt;0,N629*100/L629,0)</f>
        <v>29.391834883404783</v>
      </c>
      <c r="P629" s="195">
        <f t="shared" ref="P629:P634" si="301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594"/>
      <c r="C630" s="594"/>
      <c r="D630" s="595"/>
      <c r="E630" s="596" t="s">
        <v>184</v>
      </c>
      <c r="F630" s="594"/>
      <c r="G630" s="597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599"/>
      <c r="C631" s="594"/>
      <c r="D631" s="595"/>
      <c r="E631" s="596" t="s">
        <v>185</v>
      </c>
      <c r="F631" s="594"/>
      <c r="G631" s="597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si="303"/>
        <v>0</v>
      </c>
      <c r="N631" s="45">
        <f t="shared" ca="1" si="303"/>
        <v>3470130.82</v>
      </c>
      <c r="O631" s="45">
        <f t="shared" ca="1" si="300"/>
        <v>29.391834883404783</v>
      </c>
      <c r="P631" s="45">
        <f t="shared" si="301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570"/>
      <c r="D632" s="600" t="s">
        <v>20</v>
      </c>
      <c r="E632" s="570"/>
      <c r="F632" s="570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si="304"/>
        <v>0</v>
      </c>
      <c r="N632" s="38">
        <f t="shared" ca="1" si="304"/>
        <v>3470130.82</v>
      </c>
      <c r="O632" s="38">
        <f t="shared" ca="1" si="300"/>
        <v>29.391834883404783</v>
      </c>
      <c r="P632" s="38">
        <f t="shared" si="301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599"/>
      <c r="C633" s="594"/>
      <c r="D633" s="595"/>
      <c r="E633" s="596" t="s">
        <v>184</v>
      </c>
      <c r="F633" s="594"/>
      <c r="G633" s="597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599"/>
      <c r="C634" s="594"/>
      <c r="D634" s="595"/>
      <c r="E634" s="596" t="s">
        <v>185</v>
      </c>
      <c r="F634" s="594"/>
      <c r="G634" s="597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v>0</v>
      </c>
      <c r="N634" s="45">
        <f ca="1">N635+N636+N637+N638</f>
        <v>3470130.82</v>
      </c>
      <c r="O634" s="45">
        <f t="shared" ca="1" si="300"/>
        <v>29.391834883404783</v>
      </c>
      <c r="P634" s="45">
        <f t="shared" si="301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570"/>
      <c r="D635" s="570"/>
      <c r="E635" s="570"/>
      <c r="F635" s="571" t="s">
        <v>186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570"/>
      <c r="D636" s="570"/>
      <c r="E636" s="570"/>
      <c r="F636" s="571" t="s">
        <v>187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"),61320)</f>
        <v>61320</v>
      </c>
      <c r="O636" s="38"/>
      <c r="P636" s="38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570"/>
      <c r="D637" s="570"/>
      <c r="E637" s="570"/>
      <c r="F637" s="571" t="s">
        <v>188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"),919497.59)</f>
        <v>919497.59</v>
      </c>
      <c r="O637" s="38"/>
      <c r="P637" s="38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570"/>
      <c r="D638" s="570"/>
      <c r="E638" s="570"/>
      <c r="F638" s="571" t="s">
        <v>189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"),2489313.23)</f>
        <v>2489313.23</v>
      </c>
      <c r="O638" s="38"/>
      <c r="P638" s="38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570"/>
      <c r="D639" s="600" t="s">
        <v>21</v>
      </c>
      <c r="E639" s="570"/>
      <c r="F639" s="570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599"/>
      <c r="C640" s="594"/>
      <c r="D640" s="594"/>
      <c r="E640" s="596" t="s">
        <v>18</v>
      </c>
      <c r="F640" s="594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599"/>
      <c r="C641" s="594"/>
      <c r="D641" s="594"/>
      <c r="E641" s="596" t="s">
        <v>19</v>
      </c>
      <c r="F641" s="594"/>
      <c r="G641" s="597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03"/>
      <c r="C642" s="570" t="s">
        <v>16</v>
      </c>
      <c r="D642" s="673" t="s">
        <v>38</v>
      </c>
      <c r="E642" s="606"/>
      <c r="F642" s="606"/>
      <c r="G642" s="607"/>
      <c r="H642" s="175"/>
      <c r="I642" s="162"/>
      <c r="J642" s="162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570"/>
      <c r="D643" s="613"/>
      <c r="E643" s="739" t="s">
        <v>271</v>
      </c>
      <c r="F643" s="613"/>
      <c r="G643" s="175"/>
      <c r="H643" s="448" t="s">
        <v>272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"),6)</f>
        <v>6</v>
      </c>
      <c r="K643" s="163">
        <f t="shared" ref="K643:K652" ca="1" si="308">IF(I643&gt;0,J643*100/I643,0)</f>
        <v>85.714285714285708</v>
      </c>
      <c r="L643" s="163"/>
      <c r="M643" s="163"/>
      <c r="N643" s="38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570"/>
      <c r="D644" s="613"/>
      <c r="E644" s="739" t="s">
        <v>273</v>
      </c>
      <c r="F644" s="613"/>
      <c r="G644" s="175"/>
      <c r="H644" s="448" t="s">
        <v>274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"),6)</f>
        <v>6</v>
      </c>
      <c r="K644" s="163">
        <f t="shared" ca="1" si="308"/>
        <v>85.714285714285708</v>
      </c>
      <c r="L644" s="163"/>
      <c r="M644" s="163"/>
      <c r="N644" s="38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570"/>
      <c r="D645" s="613"/>
      <c r="E645" s="740" t="s">
        <v>275</v>
      </c>
      <c r="F645" s="613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"),2916)</f>
        <v>2916</v>
      </c>
      <c r="K645" s="163">
        <f t="shared" si="308"/>
        <v>0</v>
      </c>
      <c r="L645" s="163"/>
      <c r="M645" s="163"/>
      <c r="N645" s="38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570"/>
      <c r="D646" s="613"/>
      <c r="E646" s="613"/>
      <c r="F646" s="613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"),1677.97999999999)</f>
        <v>1677.97999999999</v>
      </c>
      <c r="K646" s="38">
        <f t="shared" si="308"/>
        <v>0</v>
      </c>
      <c r="L646" s="163"/>
      <c r="M646" s="163"/>
      <c r="N646" s="38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570"/>
      <c r="D647" s="613"/>
      <c r="E647" s="263" t="s">
        <v>162</v>
      </c>
      <c r="F647" s="613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"),3983)</f>
        <v>3983</v>
      </c>
      <c r="K647" s="163">
        <f t="shared" ca="1" si="308"/>
        <v>45.624284077892327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570"/>
      <c r="D648" s="613"/>
      <c r="E648" s="613"/>
      <c r="F648" s="613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"),2325.15999999999)</f>
        <v>2325.1599999999899</v>
      </c>
      <c r="K648" s="38">
        <f t="shared" si="308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570"/>
      <c r="D649" s="613"/>
      <c r="E649" s="263" t="s">
        <v>276</v>
      </c>
      <c r="F649" s="613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"),1363)</f>
        <v>1363</v>
      </c>
      <c r="K649" s="163">
        <f t="shared" ca="1" si="308"/>
        <v>15.61282932416953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570"/>
      <c r="D650" s="613"/>
      <c r="E650" s="613"/>
      <c r="F650" s="613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"),746.67)</f>
        <v>746.67</v>
      </c>
      <c r="K650" s="38">
        <f t="shared" si="308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570"/>
      <c r="D651" s="613"/>
      <c r="E651" s="263" t="s">
        <v>277</v>
      </c>
      <c r="F651" s="613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"),129)</f>
        <v>129</v>
      </c>
      <c r="K651" s="163">
        <f t="shared" ca="1" si="308"/>
        <v>1.4776632302405499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383">
        <v>0</v>
      </c>
      <c r="J652" s="500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"),73)</f>
        <v>73</v>
      </c>
      <c r="K652" s="501">
        <f t="shared" si="308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670">
        <f t="shared" ref="I654:J654" ca="1" si="309">I669</f>
        <v>1370</v>
      </c>
      <c r="J654" s="670">
        <f t="shared" ca="1" si="309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570"/>
      <c r="C655" s="570" t="s">
        <v>16</v>
      </c>
      <c r="D655" s="887" t="s">
        <v>17</v>
      </c>
      <c r="E655" s="888"/>
      <c r="F655" s="888"/>
      <c r="G655" s="189"/>
      <c r="H655" s="592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si="310"/>
        <v>0</v>
      </c>
      <c r="N655" s="195">
        <f t="shared" ca="1" si="310"/>
        <v>55099</v>
      </c>
      <c r="O655" s="195">
        <f t="shared" ref="O655:O660" ca="1" si="311">IF(L655&gt;0,N655*100/L655,0)</f>
        <v>28.372296601441814</v>
      </c>
      <c r="P655" s="195">
        <f t="shared" ref="P655:P660" si="312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594"/>
      <c r="C656" s="594"/>
      <c r="D656" s="595"/>
      <c r="E656" s="596" t="s">
        <v>184</v>
      </c>
      <c r="F656" s="594"/>
      <c r="G656" s="597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599"/>
      <c r="C657" s="594"/>
      <c r="D657" s="595"/>
      <c r="E657" s="596" t="s">
        <v>185</v>
      </c>
      <c r="F657" s="594"/>
      <c r="G657" s="597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si="314"/>
        <v>0</v>
      </c>
      <c r="N657" s="45">
        <f t="shared" ca="1" si="314"/>
        <v>55099</v>
      </c>
      <c r="O657" s="45">
        <f t="shared" ca="1" si="311"/>
        <v>28.372296601441814</v>
      </c>
      <c r="P657" s="45">
        <f t="shared" si="312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570"/>
      <c r="D658" s="600" t="s">
        <v>20</v>
      </c>
      <c r="E658" s="570"/>
      <c r="F658" s="570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si="315"/>
        <v>0</v>
      </c>
      <c r="N658" s="38">
        <f t="shared" ca="1" si="315"/>
        <v>55099</v>
      </c>
      <c r="O658" s="38">
        <f t="shared" ca="1" si="311"/>
        <v>28.372296601441814</v>
      </c>
      <c r="P658" s="38">
        <f t="shared" si="312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599"/>
      <c r="C659" s="594"/>
      <c r="D659" s="595"/>
      <c r="E659" s="596" t="s">
        <v>184</v>
      </c>
      <c r="F659" s="594"/>
      <c r="G659" s="597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599"/>
      <c r="C660" s="594"/>
      <c r="D660" s="595"/>
      <c r="E660" s="596" t="s">
        <v>185</v>
      </c>
      <c r="F660" s="594"/>
      <c r="G660" s="597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v>0</v>
      </c>
      <c r="N660" s="45">
        <f ca="1">N661+N662+N663+N664</f>
        <v>55099</v>
      </c>
      <c r="O660" s="45">
        <f t="shared" ca="1" si="311"/>
        <v>28.372296601441814</v>
      </c>
      <c r="P660" s="45">
        <f t="shared" si="312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570"/>
      <c r="D661" s="570"/>
      <c r="E661" s="570"/>
      <c r="F661" s="571" t="s">
        <v>186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570"/>
      <c r="D662" s="570"/>
      <c r="E662" s="570"/>
      <c r="F662" s="571" t="s">
        <v>187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"),2100)</f>
        <v>2100</v>
      </c>
      <c r="O662" s="38"/>
      <c r="P662" s="38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570"/>
      <c r="E663" s="570"/>
      <c r="F663" s="571" t="s">
        <v>188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"),0)</f>
        <v>0</v>
      </c>
      <c r="O663" s="38"/>
      <c r="P663" s="38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570"/>
      <c r="F664" s="571" t="s">
        <v>189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"),52999)</f>
        <v>52999</v>
      </c>
      <c r="O664" s="38"/>
      <c r="P664" s="38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570"/>
      <c r="F665" s="570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599"/>
      <c r="C666" s="599"/>
      <c r="D666" s="599"/>
      <c r="E666" s="596" t="s">
        <v>18</v>
      </c>
      <c r="F666" s="594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599"/>
      <c r="C667" s="599"/>
      <c r="D667" s="599"/>
      <c r="E667" s="596" t="s">
        <v>19</v>
      </c>
      <c r="F667" s="594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03"/>
      <c r="C668" s="569" t="s">
        <v>16</v>
      </c>
      <c r="D668" s="604" t="s">
        <v>38</v>
      </c>
      <c r="E668" s="606"/>
      <c r="F668" s="606"/>
      <c r="G668" s="607"/>
      <c r="H668" s="175"/>
      <c r="I668" s="162"/>
      <c r="J668" s="162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03"/>
      <c r="C669" s="603"/>
      <c r="D669" s="612" t="s">
        <v>280</v>
      </c>
      <c r="E669" s="613"/>
      <c r="F669" s="613"/>
      <c r="G669" s="175"/>
      <c r="H669" s="746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03"/>
      <c r="C670" s="603"/>
      <c r="D670" s="603"/>
      <c r="E670" s="187" t="s">
        <v>281</v>
      </c>
      <c r="F670" s="613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"),60)</f>
        <v>60</v>
      </c>
      <c r="K670" s="38">
        <f ca="1">IF(I670&gt;0,(J670*100)/I670,0)</f>
        <v>85.714285714285708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03"/>
      <c r="C671" s="603"/>
      <c r="D671" s="603"/>
      <c r="E671" s="187" t="s">
        <v>282</v>
      </c>
      <c r="F671" s="613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"),60)</f>
        <v>60</v>
      </c>
      <c r="K671" s="38">
        <f ca="1">IF(I$671&gt;0,J671*100/I$671,0)</f>
        <v>85.714285714285708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03"/>
      <c r="C672" s="603"/>
      <c r="D672" s="603"/>
      <c r="E672" s="187" t="s">
        <v>283</v>
      </c>
      <c r="F672" s="613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"),1501.48)</f>
        <v>1501.48</v>
      </c>
      <c r="K672" s="38">
        <f t="shared" ref="K672:K675" ca="1" si="319">IF(I$669&gt;0,J672*100/I$669,0)</f>
        <v>109.5970802919708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03"/>
      <c r="C673" s="603"/>
      <c r="D673" s="603"/>
      <c r="E673" s="187" t="s">
        <v>284</v>
      </c>
      <c r="F673" s="613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"),18)</f>
        <v>18</v>
      </c>
      <c r="K673" s="38">
        <f t="shared" ca="1" si="319"/>
        <v>1.3138686131386861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03"/>
      <c r="C674" s="603"/>
      <c r="D674" s="603"/>
      <c r="E674" s="187" t="s">
        <v>285</v>
      </c>
      <c r="F674" s="613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"),0)</f>
        <v>0</v>
      </c>
      <c r="K674" s="38">
        <f t="shared" ca="1" si="319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03"/>
      <c r="C675" s="603"/>
      <c r="D675" s="603"/>
      <c r="E675" s="187" t="s">
        <v>286</v>
      </c>
      <c r="F675" s="613"/>
      <c r="G675" s="175"/>
      <c r="H675" s="182" t="s">
        <v>46</v>
      </c>
      <c r="I675" s="37"/>
      <c r="J675" s="194">
        <f ca="1">J676+J677</f>
        <v>0</v>
      </c>
      <c r="K675" s="195">
        <f t="shared" ca="1" si="319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03"/>
      <c r="C676" s="603"/>
      <c r="D676" s="603"/>
      <c r="E676" s="613"/>
      <c r="F676" s="187" t="s">
        <v>287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03"/>
      <c r="C677" s="603"/>
      <c r="D677" s="603"/>
      <c r="E677" s="613"/>
      <c r="F677" s="187" t="s">
        <v>288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"),0)</f>
        <v>0</v>
      </c>
      <c r="K677" s="38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03"/>
      <c r="C678" s="603"/>
      <c r="D678" s="612" t="s">
        <v>289</v>
      </c>
      <c r="E678" s="613"/>
      <c r="F678" s="613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03"/>
      <c r="C679" s="603"/>
      <c r="D679" s="603"/>
      <c r="E679" s="187" t="s">
        <v>290</v>
      </c>
      <c r="F679" s="613"/>
      <c r="G679" s="175"/>
      <c r="H679" s="182" t="s">
        <v>46</v>
      </c>
      <c r="I679" s="37"/>
      <c r="J679" s="37">
        <f ca="1">J680+J681</f>
        <v>0</v>
      </c>
      <c r="K679" s="38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03"/>
      <c r="C680" s="603"/>
      <c r="D680" s="603"/>
      <c r="E680" s="613"/>
      <c r="F680" s="187" t="s">
        <v>287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03"/>
      <c r="C681" s="603"/>
      <c r="D681" s="603"/>
      <c r="E681" s="613"/>
      <c r="F681" s="187" t="s">
        <v>288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"),0)</f>
        <v>0</v>
      </c>
      <c r="K681" s="38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03"/>
      <c r="C682" s="603"/>
      <c r="D682" s="603"/>
      <c r="E682" s="187" t="s">
        <v>291</v>
      </c>
      <c r="F682" s="613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03"/>
      <c r="C683" s="603"/>
      <c r="D683" s="603"/>
      <c r="E683" s="613"/>
      <c r="F683" s="187" t="s">
        <v>292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570"/>
      <c r="C685" s="570" t="s">
        <v>16</v>
      </c>
      <c r="D685" s="887" t="s">
        <v>17</v>
      </c>
      <c r="E685" s="888"/>
      <c r="F685" s="888"/>
      <c r="G685" s="189"/>
      <c r="H685" s="592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si="320"/>
        <v>0</v>
      </c>
      <c r="N685" s="195">
        <f t="shared" ca="1" si="320"/>
        <v>45315</v>
      </c>
      <c r="O685" s="195">
        <f t="shared" ref="O685:O688" ca="1" si="321">IF(L685&gt;0,N685*100/L685,0)</f>
        <v>13.095306900936308</v>
      </c>
      <c r="P685" s="195">
        <f t="shared" ref="P685:P688" si="322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594"/>
      <c r="C686" s="594"/>
      <c r="D686" s="595"/>
      <c r="E686" s="596" t="s">
        <v>184</v>
      </c>
      <c r="F686" s="594"/>
      <c r="G686" s="597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599"/>
      <c r="C687" s="594"/>
      <c r="D687" s="595"/>
      <c r="E687" s="596" t="s">
        <v>185</v>
      </c>
      <c r="F687" s="594"/>
      <c r="G687" s="597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si="324"/>
        <v>0</v>
      </c>
      <c r="N687" s="45">
        <f t="shared" ca="1" si="324"/>
        <v>45315</v>
      </c>
      <c r="O687" s="45">
        <f t="shared" ca="1" si="321"/>
        <v>13.095306900936308</v>
      </c>
      <c r="P687" s="45">
        <f t="shared" si="322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570"/>
      <c r="D688" s="600" t="s">
        <v>20</v>
      </c>
      <c r="E688" s="570"/>
      <c r="F688" s="570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si="325"/>
        <v>0</v>
      </c>
      <c r="N688" s="38">
        <f t="shared" ca="1" si="325"/>
        <v>45315</v>
      </c>
      <c r="O688" s="38">
        <f t="shared" ca="1" si="321"/>
        <v>13.095306900936308</v>
      </c>
      <c r="P688" s="38">
        <f t="shared" si="322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599"/>
      <c r="C689" s="594"/>
      <c r="D689" s="595"/>
      <c r="E689" s="596" t="s">
        <v>184</v>
      </c>
      <c r="F689" s="594"/>
      <c r="G689" s="597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599"/>
      <c r="C690" s="594"/>
      <c r="D690" s="595"/>
      <c r="E690" s="596" t="s">
        <v>185</v>
      </c>
      <c r="F690" s="594"/>
      <c r="G690" s="597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v>0</v>
      </c>
      <c r="N690" s="45">
        <f ca="1">N691+N692+N693+N694</f>
        <v>45315</v>
      </c>
      <c r="O690" s="45">
        <f ca="1">IF(L690&gt;0,N690*100/L690,0)</f>
        <v>13.095306900936308</v>
      </c>
      <c r="P690" s="45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570"/>
      <c r="D691" s="570"/>
      <c r="E691" s="570"/>
      <c r="F691" s="571" t="s">
        <v>186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"),0)</f>
        <v>0</v>
      </c>
      <c r="O691" s="38"/>
      <c r="P691" s="38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570"/>
      <c r="D692" s="570"/>
      <c r="E692" s="570"/>
      <c r="F692" s="571" t="s">
        <v>187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570"/>
      <c r="D693" s="570"/>
      <c r="E693" s="570"/>
      <c r="F693" s="571" t="s">
        <v>188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570"/>
      <c r="D694" s="570"/>
      <c r="E694" s="570"/>
      <c r="F694" s="571" t="s">
        <v>189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"),45315)</f>
        <v>45315</v>
      </c>
      <c r="O694" s="38"/>
      <c r="P694" s="38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570"/>
      <c r="D695" s="752" t="s">
        <v>21</v>
      </c>
      <c r="E695" s="570"/>
      <c r="F695" s="570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599"/>
      <c r="C696" s="594"/>
      <c r="D696" s="594"/>
      <c r="E696" s="753" t="s">
        <v>18</v>
      </c>
      <c r="F696" s="594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599"/>
      <c r="C697" s="594"/>
      <c r="D697" s="594"/>
      <c r="E697" s="753" t="s">
        <v>19</v>
      </c>
      <c r="F697" s="594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03"/>
      <c r="C698" s="570" t="s">
        <v>16</v>
      </c>
      <c r="D698" s="754" t="s">
        <v>38</v>
      </c>
      <c r="E698" s="755"/>
      <c r="F698" s="606"/>
      <c r="G698" s="607"/>
      <c r="H698" s="756"/>
      <c r="I698" s="162"/>
      <c r="J698" s="162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570"/>
      <c r="C699" s="570"/>
      <c r="D699" s="571" t="s">
        <v>294</v>
      </c>
      <c r="E699" s="757"/>
      <c r="F699" s="570"/>
      <c r="G699" s="189"/>
      <c r="H699" s="758" t="s">
        <v>46</v>
      </c>
      <c r="I699" s="759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"),362.21)</f>
        <v>362.21</v>
      </c>
      <c r="K699" s="38">
        <f t="shared" ref="K699:K701" ca="1" si="329">IF(I699&gt;0,J699*100/I699,0)</f>
        <v>43.171632896305127</v>
      </c>
      <c r="L699" s="38"/>
      <c r="M699" s="189"/>
      <c r="N699" s="760"/>
      <c r="O699" s="38"/>
      <c r="P699" s="38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570"/>
      <c r="C700" s="570"/>
      <c r="D700" s="571" t="s">
        <v>295</v>
      </c>
      <c r="E700" s="570"/>
      <c r="F700" s="570"/>
      <c r="G700" s="189"/>
      <c r="H700" s="758" t="s">
        <v>35</v>
      </c>
      <c r="I700" s="759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"),20)</f>
        <v>20</v>
      </c>
      <c r="K700" s="38">
        <f t="shared" ca="1" si="329"/>
        <v>9.4786729857819907</v>
      </c>
      <c r="L700" s="38"/>
      <c r="M700" s="189"/>
      <c r="N700" s="760"/>
      <c r="O700" s="38"/>
      <c r="P700" s="38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570"/>
      <c r="C701" s="570"/>
      <c r="D701" s="571" t="s">
        <v>296</v>
      </c>
      <c r="E701" s="570"/>
      <c r="F701" s="570"/>
      <c r="G701" s="189"/>
      <c r="H701" s="761" t="s">
        <v>46</v>
      </c>
      <c r="I701" s="762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123.95</v>
      </c>
      <c r="K701" s="195">
        <f t="shared" ca="1" si="329"/>
        <v>6.8292011019283745</v>
      </c>
      <c r="L701" s="38"/>
      <c r="M701" s="189"/>
      <c r="N701" s="760"/>
      <c r="O701" s="38"/>
      <c r="P701" s="38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570"/>
      <c r="C702" s="570"/>
      <c r="D702" s="570"/>
      <c r="E702" s="571" t="s">
        <v>297</v>
      </c>
      <c r="F702" s="570"/>
      <c r="G702" s="189"/>
      <c r="H702" s="182" t="s">
        <v>35</v>
      </c>
      <c r="I702" s="759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"),10)</f>
        <v>10</v>
      </c>
      <c r="K702" s="38"/>
      <c r="L702" s="38"/>
      <c r="M702" s="189"/>
      <c r="N702" s="760"/>
      <c r="O702" s="38"/>
      <c r="P702" s="38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570"/>
      <c r="C703" s="570"/>
      <c r="D703" s="570"/>
      <c r="E703" s="570"/>
      <c r="F703" s="570"/>
      <c r="G703" s="189"/>
      <c r="H703" s="182" t="s">
        <v>34</v>
      </c>
      <c r="I703" s="759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"),15)</f>
        <v>15</v>
      </c>
      <c r="K703" s="38"/>
      <c r="L703" s="38"/>
      <c r="M703" s="189"/>
      <c r="N703" s="760"/>
      <c r="O703" s="38"/>
      <c r="P703" s="38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570"/>
      <c r="C704" s="570"/>
      <c r="D704" s="570"/>
      <c r="E704" s="570"/>
      <c r="F704" s="570"/>
      <c r="G704" s="189"/>
      <c r="H704" s="182" t="s">
        <v>46</v>
      </c>
      <c r="I704" s="759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"),123.95)</f>
        <v>123.95</v>
      </c>
      <c r="K704" s="38"/>
      <c r="L704" s="38"/>
      <c r="M704" s="189"/>
      <c r="N704" s="760"/>
      <c r="O704" s="38"/>
      <c r="P704" s="38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570"/>
      <c r="C705" s="570"/>
      <c r="D705" s="570"/>
      <c r="E705" s="571" t="s">
        <v>298</v>
      </c>
      <c r="F705" s="570"/>
      <c r="G705" s="189"/>
      <c r="H705" s="182" t="s">
        <v>35</v>
      </c>
      <c r="I705" s="759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"),0)</f>
        <v>0</v>
      </c>
      <c r="K705" s="38"/>
      <c r="L705" s="38"/>
      <c r="M705" s="189"/>
      <c r="N705" s="760"/>
      <c r="O705" s="38"/>
      <c r="P705" s="38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570"/>
      <c r="C706" s="570"/>
      <c r="D706" s="570"/>
      <c r="E706" s="570"/>
      <c r="F706" s="570"/>
      <c r="G706" s="189"/>
      <c r="H706" s="182" t="s">
        <v>34</v>
      </c>
      <c r="I706" s="759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"),0)</f>
        <v>0</v>
      </c>
      <c r="K706" s="38"/>
      <c r="L706" s="38"/>
      <c r="M706" s="189"/>
      <c r="N706" s="760"/>
      <c r="O706" s="38"/>
      <c r="P706" s="38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570"/>
      <c r="C707" s="570"/>
      <c r="D707" s="570"/>
      <c r="E707" s="570"/>
      <c r="F707" s="570"/>
      <c r="G707" s="189"/>
      <c r="H707" s="182" t="s">
        <v>46</v>
      </c>
      <c r="I707" s="759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"),0)</f>
        <v>0</v>
      </c>
      <c r="K707" s="38"/>
      <c r="L707" s="38"/>
      <c r="M707" s="189"/>
      <c r="N707" s="760"/>
      <c r="O707" s="38"/>
      <c r="P707" s="38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570"/>
      <c r="C708" s="570"/>
      <c r="D708" s="763" t="s">
        <v>299</v>
      </c>
      <c r="E708" s="570"/>
      <c r="F708" s="570"/>
      <c r="G708" s="189"/>
      <c r="H708" s="192" t="s">
        <v>46</v>
      </c>
      <c r="I708" s="762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0</v>
      </c>
      <c r="K708" s="195">
        <f ca="1">IF(I708&gt;0,J708*100/I708,0)</f>
        <v>0</v>
      </c>
      <c r="L708" s="38"/>
      <c r="M708" s="189"/>
      <c r="N708" s="760"/>
      <c r="O708" s="38"/>
      <c r="P708" s="38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570"/>
      <c r="C709" s="570"/>
      <c r="D709" s="570"/>
      <c r="E709" s="571" t="s">
        <v>300</v>
      </c>
      <c r="F709" s="570"/>
      <c r="G709" s="189"/>
      <c r="H709" s="182" t="s">
        <v>34</v>
      </c>
      <c r="I709" s="759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"),1)</f>
        <v>1</v>
      </c>
      <c r="K709" s="38"/>
      <c r="L709" s="760"/>
      <c r="M709" s="189"/>
      <c r="N709" s="760"/>
      <c r="O709" s="38"/>
      <c r="P709" s="38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570"/>
      <c r="C710" s="570"/>
      <c r="D710" s="570"/>
      <c r="E710" s="570"/>
      <c r="F710" s="570"/>
      <c r="G710" s="189"/>
      <c r="H710" s="182" t="s">
        <v>46</v>
      </c>
      <c r="I710" s="759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"),14)</f>
        <v>14</v>
      </c>
      <c r="K710" s="38"/>
      <c r="L710" s="760"/>
      <c r="M710" s="189"/>
      <c r="N710" s="760"/>
      <c r="O710" s="38"/>
      <c r="P710" s="38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570"/>
      <c r="C711" s="570"/>
      <c r="D711" s="570"/>
      <c r="E711" s="571" t="s">
        <v>301</v>
      </c>
      <c r="F711" s="570"/>
      <c r="G711" s="189"/>
      <c r="H711" s="175"/>
      <c r="I711" s="759"/>
      <c r="J711" s="37"/>
      <c r="K711" s="38"/>
      <c r="L711" s="760"/>
      <c r="M711" s="189"/>
      <c r="N711" s="760"/>
      <c r="O711" s="38"/>
      <c r="P711" s="38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570"/>
      <c r="C712" s="570"/>
      <c r="D712" s="570"/>
      <c r="E712" s="570"/>
      <c r="F712" s="571" t="s">
        <v>302</v>
      </c>
      <c r="G712" s="189"/>
      <c r="H712" s="182" t="s">
        <v>35</v>
      </c>
      <c r="I712" s="759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"),0)</f>
        <v>0</v>
      </c>
      <c r="K712" s="38"/>
      <c r="L712" s="760"/>
      <c r="M712" s="189"/>
      <c r="N712" s="760"/>
      <c r="O712" s="38"/>
      <c r="P712" s="38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570"/>
      <c r="C713" s="570"/>
      <c r="D713" s="570"/>
      <c r="E713" s="570"/>
      <c r="F713" s="570"/>
      <c r="G713" s="189"/>
      <c r="H713" s="182" t="s">
        <v>34</v>
      </c>
      <c r="I713" s="759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"),0)</f>
        <v>0</v>
      </c>
      <c r="K713" s="38"/>
      <c r="L713" s="760"/>
      <c r="M713" s="189"/>
      <c r="N713" s="760"/>
      <c r="O713" s="38"/>
      <c r="P713" s="38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570"/>
      <c r="C714" s="570"/>
      <c r="D714" s="570"/>
      <c r="E714" s="570"/>
      <c r="F714" s="570"/>
      <c r="G714" s="189"/>
      <c r="H714" s="182" t="s">
        <v>46</v>
      </c>
      <c r="I714" s="759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"),0)</f>
        <v>0</v>
      </c>
      <c r="K714" s="38"/>
      <c r="L714" s="760"/>
      <c r="M714" s="189"/>
      <c r="N714" s="760"/>
      <c r="O714" s="38"/>
      <c r="P714" s="38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570"/>
      <c r="C715" s="570"/>
      <c r="D715" s="570"/>
      <c r="E715" s="570"/>
      <c r="F715" s="571" t="s">
        <v>303</v>
      </c>
      <c r="G715" s="189"/>
      <c r="H715" s="182" t="s">
        <v>35</v>
      </c>
      <c r="I715" s="759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0"/>
      <c r="M715" s="189"/>
      <c r="N715" s="760"/>
      <c r="O715" s="38"/>
      <c r="P715" s="38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570"/>
      <c r="C716" s="570"/>
      <c r="D716" s="570"/>
      <c r="E716" s="570"/>
      <c r="F716" s="570"/>
      <c r="G716" s="189"/>
      <c r="H716" s="182" t="s">
        <v>34</v>
      </c>
      <c r="I716" s="759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0"/>
      <c r="M716" s="189"/>
      <c r="N716" s="760"/>
      <c r="O716" s="38"/>
      <c r="P716" s="38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570"/>
      <c r="C717" s="570"/>
      <c r="D717" s="570"/>
      <c r="E717" s="570"/>
      <c r="F717" s="570"/>
      <c r="G717" s="189"/>
      <c r="H717" s="182" t="s">
        <v>46</v>
      </c>
      <c r="I717" s="759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0"/>
      <c r="M717" s="189"/>
      <c r="N717" s="760"/>
      <c r="O717" s="38"/>
      <c r="P717" s="38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570"/>
      <c r="C718" s="570"/>
      <c r="D718" s="571" t="s">
        <v>304</v>
      </c>
      <c r="E718" s="570"/>
      <c r="F718" s="570"/>
      <c r="G718" s="189"/>
      <c r="H718" s="182" t="s">
        <v>35</v>
      </c>
      <c r="I718" s="759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"),0)</f>
        <v>0</v>
      </c>
      <c r="K718" s="38"/>
      <c r="L718" s="38"/>
      <c r="M718" s="189"/>
      <c r="N718" s="760"/>
      <c r="O718" s="38"/>
      <c r="P718" s="38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570"/>
      <c r="C719" s="570"/>
      <c r="D719" s="570"/>
      <c r="E719" s="570"/>
      <c r="F719" s="570"/>
      <c r="G719" s="189"/>
      <c r="H719" s="182" t="s">
        <v>34</v>
      </c>
      <c r="I719" s="759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"),0)</f>
        <v>0</v>
      </c>
      <c r="K719" s="38"/>
      <c r="L719" s="760"/>
      <c r="M719" s="189"/>
      <c r="N719" s="760"/>
      <c r="O719" s="38"/>
      <c r="P719" s="38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570"/>
      <c r="C720" s="570"/>
      <c r="D720" s="570"/>
      <c r="E720" s="570"/>
      <c r="F720" s="570"/>
      <c r="G720" s="189"/>
      <c r="H720" s="182" t="s">
        <v>46</v>
      </c>
      <c r="I720" s="759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"),0)</f>
        <v>0</v>
      </c>
      <c r="K720" s="38">
        <f t="shared" ref="K720:K723" ca="1" si="330">IF(I720&gt;0,J720*100/I720,0)</f>
        <v>0</v>
      </c>
      <c r="L720" s="760"/>
      <c r="M720" s="189"/>
      <c r="N720" s="760"/>
      <c r="O720" s="38"/>
      <c r="P720" s="38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570"/>
      <c r="C721" s="570"/>
      <c r="D721" s="571" t="s">
        <v>305</v>
      </c>
      <c r="E721" s="570"/>
      <c r="F721" s="570"/>
      <c r="G721" s="189"/>
      <c r="H721" s="746" t="s">
        <v>35</v>
      </c>
      <c r="I721" s="762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0</v>
      </c>
      <c r="K721" s="195">
        <f t="shared" ca="1" si="330"/>
        <v>0</v>
      </c>
      <c r="L721" s="760"/>
      <c r="M721" s="189"/>
      <c r="N721" s="760"/>
      <c r="O721" s="38"/>
      <c r="P721" s="38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570"/>
      <c r="C722" s="570"/>
      <c r="D722" s="570"/>
      <c r="E722" s="571"/>
      <c r="F722" s="570"/>
      <c r="G722" s="189"/>
      <c r="H722" s="746" t="s">
        <v>46</v>
      </c>
      <c r="I722" s="762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0</v>
      </c>
      <c r="K722" s="195">
        <f t="shared" ca="1" si="330"/>
        <v>0</v>
      </c>
      <c r="L722" s="38"/>
      <c r="M722" s="189"/>
      <c r="N722" s="760"/>
      <c r="O722" s="38"/>
      <c r="P722" s="38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570"/>
      <c r="C723" s="570"/>
      <c r="D723" s="570"/>
      <c r="E723" s="571" t="s">
        <v>306</v>
      </c>
      <c r="F723" s="570"/>
      <c r="G723" s="189"/>
      <c r="H723" s="182" t="s">
        <v>35</v>
      </c>
      <c r="I723" s="759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"),0)</f>
        <v>0</v>
      </c>
      <c r="K723" s="38">
        <f t="shared" ca="1" si="330"/>
        <v>0</v>
      </c>
      <c r="L723" s="38"/>
      <c r="M723" s="189"/>
      <c r="N723" s="760"/>
      <c r="O723" s="38"/>
      <c r="P723" s="38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570"/>
      <c r="C724" s="570"/>
      <c r="D724" s="570"/>
      <c r="E724" s="570"/>
      <c r="F724" s="570"/>
      <c r="G724" s="189"/>
      <c r="H724" s="182" t="s">
        <v>34</v>
      </c>
      <c r="I724" s="759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"),0)</f>
        <v>0</v>
      </c>
      <c r="K724" s="38"/>
      <c r="L724" s="760"/>
      <c r="M724" s="189"/>
      <c r="N724" s="760"/>
      <c r="O724" s="38"/>
      <c r="P724" s="38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570"/>
      <c r="C725" s="570"/>
      <c r="D725" s="570"/>
      <c r="E725" s="570"/>
      <c r="F725" s="570"/>
      <c r="G725" s="189"/>
      <c r="H725" s="182" t="s">
        <v>46</v>
      </c>
      <c r="I725" s="759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"),0)</f>
        <v>0</v>
      </c>
      <c r="K725" s="38">
        <f t="shared" ref="K725:K726" ca="1" si="331">IF(I725&gt;0,J725*100/I725,0)</f>
        <v>0</v>
      </c>
      <c r="L725" s="760"/>
      <c r="M725" s="189"/>
      <c r="N725" s="760"/>
      <c r="O725" s="38"/>
      <c r="P725" s="38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570"/>
      <c r="C726" s="570"/>
      <c r="D726" s="570"/>
      <c r="E726" s="571" t="s">
        <v>307</v>
      </c>
      <c r="F726" s="570"/>
      <c r="G726" s="189"/>
      <c r="H726" s="182" t="s">
        <v>35</v>
      </c>
      <c r="I726" s="759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0"/>
      <c r="O726" s="38"/>
      <c r="P726" s="38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570"/>
      <c r="C727" s="570"/>
      <c r="D727" s="570"/>
      <c r="E727" s="570"/>
      <c r="F727" s="570"/>
      <c r="G727" s="189"/>
      <c r="H727" s="182" t="s">
        <v>34</v>
      </c>
      <c r="I727" s="759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0"/>
      <c r="M727" s="189"/>
      <c r="N727" s="760"/>
      <c r="O727" s="38"/>
      <c r="P727" s="38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570"/>
      <c r="C728" s="570"/>
      <c r="D728" s="570"/>
      <c r="E728" s="570"/>
      <c r="F728" s="570"/>
      <c r="G728" s="189"/>
      <c r="H728" s="182" t="s">
        <v>46</v>
      </c>
      <c r="I728" s="759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0"/>
      <c r="M728" s="189"/>
      <c r="N728" s="760"/>
      <c r="O728" s="38"/>
      <c r="P728" s="38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570"/>
      <c r="C729" s="570"/>
      <c r="D729" s="571" t="s">
        <v>308</v>
      </c>
      <c r="E729" s="570"/>
      <c r="F729" s="570"/>
      <c r="G729" s="189"/>
      <c r="H729" s="192" t="s">
        <v>46</v>
      </c>
      <c r="I729" s="762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0</v>
      </c>
      <c r="K729" s="195">
        <f t="shared" ca="1" si="332"/>
        <v>0</v>
      </c>
      <c r="L729" s="38"/>
      <c r="M729" s="189"/>
      <c r="N729" s="760"/>
      <c r="O729" s="38"/>
      <c r="P729" s="38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570"/>
      <c r="C730" s="570"/>
      <c r="D730" s="570"/>
      <c r="E730" s="571" t="s">
        <v>309</v>
      </c>
      <c r="F730" s="570"/>
      <c r="G730" s="189"/>
      <c r="H730" s="182" t="s">
        <v>35</v>
      </c>
      <c r="I730" s="759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"),0)</f>
        <v>0</v>
      </c>
      <c r="K730" s="38"/>
      <c r="L730" s="760"/>
      <c r="M730" s="38"/>
      <c r="N730" s="760"/>
      <c r="O730" s="38"/>
      <c r="P730" s="38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570"/>
      <c r="C731" s="570"/>
      <c r="D731" s="570"/>
      <c r="E731" s="570"/>
      <c r="F731" s="570"/>
      <c r="G731" s="189"/>
      <c r="H731" s="182" t="s">
        <v>34</v>
      </c>
      <c r="I731" s="759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"),0)</f>
        <v>0</v>
      </c>
      <c r="K731" s="38"/>
      <c r="L731" s="760"/>
      <c r="M731" s="38"/>
      <c r="N731" s="760"/>
      <c r="O731" s="38"/>
      <c r="P731" s="38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570"/>
      <c r="C732" s="570"/>
      <c r="D732" s="570"/>
      <c r="E732" s="570"/>
      <c r="F732" s="570"/>
      <c r="G732" s="189"/>
      <c r="H732" s="182" t="s">
        <v>46</v>
      </c>
      <c r="I732" s="759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"),0)</f>
        <v>0</v>
      </c>
      <c r="K732" s="38"/>
      <c r="L732" s="760"/>
      <c r="M732" s="38"/>
      <c r="N732" s="760"/>
      <c r="O732" s="38"/>
      <c r="P732" s="38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570"/>
      <c r="C733" s="570"/>
      <c r="D733" s="570"/>
      <c r="E733" s="571" t="s">
        <v>310</v>
      </c>
      <c r="F733" s="570"/>
      <c r="G733" s="189"/>
      <c r="H733" s="182" t="s">
        <v>35</v>
      </c>
      <c r="I733" s="759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"),0)</f>
        <v>0</v>
      </c>
      <c r="K733" s="38"/>
      <c r="L733" s="760"/>
      <c r="M733" s="38"/>
      <c r="N733" s="760"/>
      <c r="O733" s="38"/>
      <c r="P733" s="38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570"/>
      <c r="C734" s="570"/>
      <c r="D734" s="570"/>
      <c r="E734" s="570"/>
      <c r="F734" s="570"/>
      <c r="G734" s="189"/>
      <c r="H734" s="182" t="s">
        <v>34</v>
      </c>
      <c r="I734" s="759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"),0)</f>
        <v>0</v>
      </c>
      <c r="K734" s="38"/>
      <c r="L734" s="760"/>
      <c r="M734" s="38"/>
      <c r="N734" s="760"/>
      <c r="O734" s="38"/>
      <c r="P734" s="38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"),0)</f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594"/>
      <c r="C737" s="594" t="s">
        <v>16</v>
      </c>
      <c r="D737" s="892" t="s">
        <v>17</v>
      </c>
      <c r="E737" s="888"/>
      <c r="F737" s="888"/>
      <c r="G737" s="597"/>
      <c r="H737" s="640" t="s">
        <v>12</v>
      </c>
      <c r="I737" s="44"/>
      <c r="J737" s="44"/>
      <c r="K737" s="45"/>
      <c r="L737" s="641">
        <f t="shared" ref="L737:N737" si="333">L738+L739</f>
        <v>0</v>
      </c>
      <c r="M737" s="641">
        <f t="shared" si="333"/>
        <v>0</v>
      </c>
      <c r="N737" s="641">
        <f t="shared" si="333"/>
        <v>0</v>
      </c>
      <c r="O737" s="641">
        <f t="shared" ref="O737:O742" si="334">IF(L737&gt;0,N737*100/L737,0)</f>
        <v>0</v>
      </c>
      <c r="P737" s="641">
        <f t="shared" ref="P737:P742" si="335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594"/>
      <c r="C738" s="594"/>
      <c r="D738" s="595"/>
      <c r="E738" s="596" t="s">
        <v>184</v>
      </c>
      <c r="F738" s="594"/>
      <c r="G738" s="597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599"/>
      <c r="C739" s="594"/>
      <c r="D739" s="595"/>
      <c r="E739" s="596" t="s">
        <v>185</v>
      </c>
      <c r="F739" s="594"/>
      <c r="G739" s="597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599"/>
      <c r="C740" s="594"/>
      <c r="D740" s="776" t="s">
        <v>20</v>
      </c>
      <c r="E740" s="594"/>
      <c r="F740" s="594"/>
      <c r="G740" s="597"/>
      <c r="H740" s="640" t="s">
        <v>12</v>
      </c>
      <c r="I740" s="166"/>
      <c r="J740" s="166"/>
      <c r="K740" s="167"/>
      <c r="L740" s="641">
        <f t="shared" ref="L740:N740" si="338">L741+L742</f>
        <v>0</v>
      </c>
      <c r="M740" s="641">
        <f t="shared" si="338"/>
        <v>0</v>
      </c>
      <c r="N740" s="641">
        <f t="shared" si="338"/>
        <v>0</v>
      </c>
      <c r="O740" s="641">
        <f t="shared" si="334"/>
        <v>0</v>
      </c>
      <c r="P740" s="641">
        <f t="shared" si="335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599"/>
      <c r="C741" s="594"/>
      <c r="D741" s="595"/>
      <c r="E741" s="596" t="s">
        <v>184</v>
      </c>
      <c r="F741" s="594"/>
      <c r="G741" s="597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599"/>
      <c r="C742" s="594"/>
      <c r="D742" s="595"/>
      <c r="E742" s="596" t="s">
        <v>185</v>
      </c>
      <c r="F742" s="594"/>
      <c r="G742" s="597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599"/>
      <c r="C743" s="594"/>
      <c r="D743" s="594"/>
      <c r="E743" s="594"/>
      <c r="F743" s="596" t="s">
        <v>186</v>
      </c>
      <c r="G743" s="597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599"/>
      <c r="C744" s="594"/>
      <c r="D744" s="594"/>
      <c r="E744" s="594"/>
      <c r="F744" s="596" t="s">
        <v>187</v>
      </c>
      <c r="G744" s="597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599"/>
      <c r="C745" s="594"/>
      <c r="D745" s="594"/>
      <c r="E745" s="594"/>
      <c r="F745" s="596" t="s">
        <v>188</v>
      </c>
      <c r="G745" s="597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599"/>
      <c r="C746" s="594"/>
      <c r="D746" s="594"/>
      <c r="E746" s="594"/>
      <c r="F746" s="596" t="s">
        <v>189</v>
      </c>
      <c r="G746" s="597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599"/>
      <c r="C747" s="594"/>
      <c r="D747" s="776" t="s">
        <v>21</v>
      </c>
      <c r="E747" s="594"/>
      <c r="F747" s="594"/>
      <c r="G747" s="597"/>
      <c r="H747" s="777" t="s">
        <v>12</v>
      </c>
      <c r="I747" s="166"/>
      <c r="J747" s="166"/>
      <c r="K747" s="167"/>
      <c r="L747" s="641">
        <f t="shared" ref="L747:N747" si="339">L748+L749</f>
        <v>0</v>
      </c>
      <c r="M747" s="641">
        <f t="shared" si="339"/>
        <v>0</v>
      </c>
      <c r="N747" s="641">
        <f t="shared" si="339"/>
        <v>0</v>
      </c>
      <c r="O747" s="641">
        <f t="shared" ref="O747:O749" si="340">IF(L747&gt;0,N747*100/L747,0)</f>
        <v>0</v>
      </c>
      <c r="P747" s="641">
        <f t="shared" ref="P747:P749" si="34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599"/>
      <c r="C748" s="594"/>
      <c r="D748" s="594"/>
      <c r="E748" s="596" t="s">
        <v>18</v>
      </c>
      <c r="F748" s="594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599"/>
      <c r="C749" s="594"/>
      <c r="D749" s="594"/>
      <c r="E749" s="596" t="s">
        <v>19</v>
      </c>
      <c r="F749" s="594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09"/>
      <c r="C750" s="594" t="s">
        <v>16</v>
      </c>
      <c r="D750" s="778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599"/>
      <c r="C751" s="594"/>
      <c r="D751" s="594"/>
      <c r="E751" s="596" t="s">
        <v>313</v>
      </c>
      <c r="F751" s="594"/>
      <c r="G751" s="597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599"/>
      <c r="C752" s="594"/>
      <c r="D752" s="594"/>
      <c r="E752" s="594"/>
      <c r="F752" s="594"/>
      <c r="G752" s="597"/>
      <c r="H752" s="165" t="s">
        <v>314</v>
      </c>
      <c r="I752" s="44"/>
      <c r="J752" s="44"/>
      <c r="K752" s="45"/>
      <c r="L752" s="45"/>
      <c r="M752" s="45"/>
      <c r="N752" s="45"/>
      <c r="O752" s="45"/>
      <c r="P752" s="45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594"/>
      <c r="C754" s="594" t="s">
        <v>16</v>
      </c>
      <c r="D754" s="892" t="s">
        <v>17</v>
      </c>
      <c r="E754" s="888"/>
      <c r="F754" s="888"/>
      <c r="G754" s="597"/>
      <c r="H754" s="640" t="s">
        <v>12</v>
      </c>
      <c r="I754" s="44"/>
      <c r="J754" s="44"/>
      <c r="K754" s="45"/>
      <c r="L754" s="641">
        <f t="shared" ref="L754:N754" si="342">L755+L756</f>
        <v>0</v>
      </c>
      <c r="M754" s="641">
        <f t="shared" si="342"/>
        <v>0</v>
      </c>
      <c r="N754" s="641">
        <f t="shared" si="342"/>
        <v>0</v>
      </c>
      <c r="O754" s="641">
        <f t="shared" ref="O754:O759" si="343">IF(L754&gt;0,N754*100/L754,0)</f>
        <v>0</v>
      </c>
      <c r="P754" s="641">
        <f t="shared" ref="P754:P759" si="34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594"/>
      <c r="C755" s="594"/>
      <c r="D755" s="595"/>
      <c r="E755" s="596" t="s">
        <v>184</v>
      </c>
      <c r="F755" s="594"/>
      <c r="G755" s="597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599"/>
      <c r="C756" s="594"/>
      <c r="D756" s="595"/>
      <c r="E756" s="596" t="s">
        <v>185</v>
      </c>
      <c r="F756" s="594"/>
      <c r="G756" s="597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599"/>
      <c r="C757" s="594"/>
      <c r="D757" s="776" t="s">
        <v>20</v>
      </c>
      <c r="E757" s="594"/>
      <c r="F757" s="594"/>
      <c r="G757" s="597"/>
      <c r="H757" s="640" t="s">
        <v>12</v>
      </c>
      <c r="I757" s="166"/>
      <c r="J757" s="166"/>
      <c r="K757" s="167"/>
      <c r="L757" s="641">
        <f t="shared" ref="L757:N757" si="347">L758+L759</f>
        <v>0</v>
      </c>
      <c r="M757" s="641">
        <f t="shared" si="347"/>
        <v>0</v>
      </c>
      <c r="N757" s="641">
        <f t="shared" si="347"/>
        <v>0</v>
      </c>
      <c r="O757" s="641">
        <f t="shared" si="343"/>
        <v>0</v>
      </c>
      <c r="P757" s="641">
        <f t="shared" si="34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599"/>
      <c r="C758" s="594"/>
      <c r="D758" s="595"/>
      <c r="E758" s="596" t="s">
        <v>184</v>
      </c>
      <c r="F758" s="594"/>
      <c r="G758" s="597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599"/>
      <c r="C759" s="594"/>
      <c r="D759" s="595"/>
      <c r="E759" s="596" t="s">
        <v>185</v>
      </c>
      <c r="F759" s="594"/>
      <c r="G759" s="597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599"/>
      <c r="C760" s="594"/>
      <c r="D760" s="594"/>
      <c r="E760" s="594"/>
      <c r="F760" s="596" t="s">
        <v>186</v>
      </c>
      <c r="G760" s="597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599"/>
      <c r="C761" s="594"/>
      <c r="D761" s="594"/>
      <c r="E761" s="594"/>
      <c r="F761" s="596" t="s">
        <v>187</v>
      </c>
      <c r="G761" s="597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599"/>
      <c r="C762" s="594"/>
      <c r="D762" s="594"/>
      <c r="E762" s="594"/>
      <c r="F762" s="596" t="s">
        <v>188</v>
      </c>
      <c r="G762" s="597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599"/>
      <c r="C763" s="594"/>
      <c r="D763" s="594"/>
      <c r="E763" s="594"/>
      <c r="F763" s="596" t="s">
        <v>189</v>
      </c>
      <c r="G763" s="597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599"/>
      <c r="C764" s="594"/>
      <c r="D764" s="776" t="s">
        <v>21</v>
      </c>
      <c r="E764" s="594"/>
      <c r="F764" s="594"/>
      <c r="G764" s="597"/>
      <c r="H764" s="777" t="s">
        <v>12</v>
      </c>
      <c r="I764" s="166"/>
      <c r="J764" s="166"/>
      <c r="K764" s="167"/>
      <c r="L764" s="641">
        <f t="shared" ref="L764:N764" si="348">L765+L766</f>
        <v>0</v>
      </c>
      <c r="M764" s="641">
        <f t="shared" si="348"/>
        <v>0</v>
      </c>
      <c r="N764" s="641">
        <f t="shared" si="348"/>
        <v>0</v>
      </c>
      <c r="O764" s="641">
        <f t="shared" ref="O764:O766" si="349">IF(L764&gt;0,N764*100/L764,0)</f>
        <v>0</v>
      </c>
      <c r="P764" s="641">
        <f t="shared" ref="P764:P766" si="350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599"/>
      <c r="C765" s="594"/>
      <c r="D765" s="594"/>
      <c r="E765" s="596" t="s">
        <v>18</v>
      </c>
      <c r="F765" s="594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599"/>
      <c r="C766" s="594"/>
      <c r="D766" s="594"/>
      <c r="E766" s="596" t="s">
        <v>19</v>
      </c>
      <c r="F766" s="594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09"/>
      <c r="C767" s="594" t="s">
        <v>16</v>
      </c>
      <c r="D767" s="778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599"/>
      <c r="C768" s="594"/>
      <c r="D768" s="594"/>
      <c r="E768" s="596" t="s">
        <v>316</v>
      </c>
      <c r="F768" s="594"/>
      <c r="G768" s="597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594"/>
      <c r="C770" s="594" t="s">
        <v>16</v>
      </c>
      <c r="D770" s="892" t="s">
        <v>17</v>
      </c>
      <c r="E770" s="888"/>
      <c r="F770" s="888"/>
      <c r="G770" s="597"/>
      <c r="H770" s="640" t="s">
        <v>12</v>
      </c>
      <c r="I770" s="44"/>
      <c r="J770" s="44"/>
      <c r="K770" s="45"/>
      <c r="L770" s="641">
        <f t="shared" ref="L770:N770" si="351">L771+L772</f>
        <v>0</v>
      </c>
      <c r="M770" s="641">
        <f t="shared" si="351"/>
        <v>0</v>
      </c>
      <c r="N770" s="641">
        <f t="shared" si="351"/>
        <v>0</v>
      </c>
      <c r="O770" s="641">
        <f t="shared" ref="O770:O775" si="352">IF(L770&gt;0,N770*100/L770,0)</f>
        <v>0</v>
      </c>
      <c r="P770" s="641">
        <f t="shared" ref="P770:P775" si="353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594"/>
      <c r="C771" s="594"/>
      <c r="D771" s="595"/>
      <c r="E771" s="596" t="s">
        <v>184</v>
      </c>
      <c r="F771" s="594"/>
      <c r="G771" s="597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599"/>
      <c r="C772" s="594"/>
      <c r="D772" s="595"/>
      <c r="E772" s="596" t="s">
        <v>185</v>
      </c>
      <c r="F772" s="594"/>
      <c r="G772" s="597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599"/>
      <c r="C773" s="594"/>
      <c r="D773" s="776" t="s">
        <v>20</v>
      </c>
      <c r="E773" s="594"/>
      <c r="F773" s="594"/>
      <c r="G773" s="597"/>
      <c r="H773" s="640" t="s">
        <v>12</v>
      </c>
      <c r="I773" s="166"/>
      <c r="J773" s="166"/>
      <c r="K773" s="167"/>
      <c r="L773" s="641">
        <f t="shared" ref="L773:N773" si="356">L774+L775</f>
        <v>0</v>
      </c>
      <c r="M773" s="641">
        <f t="shared" si="356"/>
        <v>0</v>
      </c>
      <c r="N773" s="641">
        <f t="shared" si="356"/>
        <v>0</v>
      </c>
      <c r="O773" s="641">
        <f t="shared" si="352"/>
        <v>0</v>
      </c>
      <c r="P773" s="641">
        <f t="shared" si="353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599"/>
      <c r="C774" s="594"/>
      <c r="D774" s="595"/>
      <c r="E774" s="596" t="s">
        <v>184</v>
      </c>
      <c r="F774" s="594"/>
      <c r="G774" s="597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599"/>
      <c r="C775" s="594"/>
      <c r="D775" s="595"/>
      <c r="E775" s="596" t="s">
        <v>185</v>
      </c>
      <c r="F775" s="594"/>
      <c r="G775" s="597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599"/>
      <c r="C776" s="594"/>
      <c r="D776" s="594"/>
      <c r="E776" s="594"/>
      <c r="F776" s="596" t="s">
        <v>186</v>
      </c>
      <c r="G776" s="597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599"/>
      <c r="C777" s="594"/>
      <c r="D777" s="594"/>
      <c r="E777" s="594"/>
      <c r="F777" s="596" t="s">
        <v>187</v>
      </c>
      <c r="G777" s="597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599"/>
      <c r="C778" s="594"/>
      <c r="D778" s="594"/>
      <c r="E778" s="594"/>
      <c r="F778" s="596" t="s">
        <v>188</v>
      </c>
      <c r="G778" s="597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599"/>
      <c r="C779" s="594"/>
      <c r="D779" s="594"/>
      <c r="E779" s="594"/>
      <c r="F779" s="596" t="s">
        <v>189</v>
      </c>
      <c r="G779" s="597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599"/>
      <c r="C780" s="594"/>
      <c r="D780" s="776" t="s">
        <v>21</v>
      </c>
      <c r="E780" s="594"/>
      <c r="F780" s="594"/>
      <c r="G780" s="597"/>
      <c r="H780" s="777" t="s">
        <v>12</v>
      </c>
      <c r="I780" s="166"/>
      <c r="J780" s="166"/>
      <c r="K780" s="167"/>
      <c r="L780" s="641">
        <f t="shared" ref="L780:N780" si="357">L781+L782</f>
        <v>0</v>
      </c>
      <c r="M780" s="641">
        <f t="shared" si="357"/>
        <v>0</v>
      </c>
      <c r="N780" s="641">
        <f t="shared" si="357"/>
        <v>0</v>
      </c>
      <c r="O780" s="641">
        <f t="shared" ref="O780:O782" si="358">IF(L780&gt;0,N780*100/L780,0)</f>
        <v>0</v>
      </c>
      <c r="P780" s="641">
        <f t="shared" ref="P780:P782" si="359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599"/>
      <c r="C781" s="594"/>
      <c r="D781" s="594"/>
      <c r="E781" s="596" t="s">
        <v>18</v>
      </c>
      <c r="F781" s="594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599"/>
      <c r="C782" s="594"/>
      <c r="D782" s="594"/>
      <c r="E782" s="596" t="s">
        <v>19</v>
      </c>
      <c r="F782" s="594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09"/>
      <c r="C783" s="594" t="s">
        <v>16</v>
      </c>
      <c r="D783" s="778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599"/>
      <c r="C784" s="594"/>
      <c r="D784" s="594"/>
      <c r="E784" s="596" t="s">
        <v>318</v>
      </c>
      <c r="F784" s="594"/>
      <c r="G784" s="597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60">I801+I803</f>
        <v>47000</v>
      </c>
      <c r="J785" s="801">
        <f t="shared" ca="1" si="360"/>
        <v>13901</v>
      </c>
      <c r="K785" s="802">
        <f ca="1">IF(I785&gt;0,J785*100/I785,0)</f>
        <v>29.576595744680851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570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61">L787+L788</f>
        <v>2156480</v>
      </c>
      <c r="M786" s="195">
        <f t="shared" si="361"/>
        <v>0</v>
      </c>
      <c r="N786" s="195">
        <f t="shared" ca="1" si="361"/>
        <v>756544.38</v>
      </c>
      <c r="O786" s="195">
        <f t="shared" ref="O786:O791" ca="1" si="362">IF(L786&gt;0,N786*100/L786,0)</f>
        <v>35.082374054013947</v>
      </c>
      <c r="P786" s="195">
        <f t="shared" ref="P786:P791" si="363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599"/>
      <c r="C787" s="594"/>
      <c r="D787" s="595"/>
      <c r="E787" s="596" t="s">
        <v>184</v>
      </c>
      <c r="F787" s="594"/>
      <c r="G787" s="597"/>
      <c r="H787" s="807" t="s">
        <v>12</v>
      </c>
      <c r="I787" s="805"/>
      <c r="J787" s="805"/>
      <c r="K787" s="806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599"/>
      <c r="C788" s="599"/>
      <c r="D788" s="609"/>
      <c r="E788" s="596" t="s">
        <v>185</v>
      </c>
      <c r="F788" s="594"/>
      <c r="G788" s="597"/>
      <c r="H788" s="807" t="s">
        <v>12</v>
      </c>
      <c r="I788" s="805"/>
      <c r="J788" s="805"/>
      <c r="K788" s="806"/>
      <c r="L788" s="45">
        <f t="shared" ref="L788:N788" ca="1" si="365">L791+L798</f>
        <v>2156480</v>
      </c>
      <c r="M788" s="45">
        <f t="shared" si="365"/>
        <v>0</v>
      </c>
      <c r="N788" s="45">
        <f t="shared" ca="1" si="365"/>
        <v>756544.38</v>
      </c>
      <c r="O788" s="45">
        <f t="shared" ca="1" si="362"/>
        <v>35.082374054013947</v>
      </c>
      <c r="P788" s="45">
        <f t="shared" si="363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570"/>
      <c r="F789" s="570"/>
      <c r="G789" s="189"/>
      <c r="H789" s="808" t="s">
        <v>12</v>
      </c>
      <c r="I789" s="809"/>
      <c r="J789" s="809"/>
      <c r="K789" s="810"/>
      <c r="L789" s="38">
        <f t="shared" ref="L789:N789" ca="1" si="366">L790+L791</f>
        <v>2156480</v>
      </c>
      <c r="M789" s="38">
        <f t="shared" si="366"/>
        <v>0</v>
      </c>
      <c r="N789" s="38">
        <f t="shared" ca="1" si="366"/>
        <v>756544.38</v>
      </c>
      <c r="O789" s="38">
        <f t="shared" ca="1" si="362"/>
        <v>35.082374054013947</v>
      </c>
      <c r="P789" s="38">
        <f t="shared" si="363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599"/>
      <c r="C790" s="599"/>
      <c r="D790" s="609"/>
      <c r="E790" s="596" t="s">
        <v>184</v>
      </c>
      <c r="F790" s="594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599"/>
      <c r="C791" s="599"/>
      <c r="D791" s="609"/>
      <c r="E791" s="596" t="s">
        <v>185</v>
      </c>
      <c r="F791" s="594"/>
      <c r="G791" s="597"/>
      <c r="H791" s="807" t="s">
        <v>12</v>
      </c>
      <c r="I791" s="805"/>
      <c r="J791" s="805"/>
      <c r="K791" s="806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v>0</v>
      </c>
      <c r="N791" s="45">
        <f ca="1">N792+N793+N794+N795</f>
        <v>756544.38</v>
      </c>
      <c r="O791" s="45">
        <f t="shared" ca="1" si="362"/>
        <v>35.082374054013947</v>
      </c>
      <c r="P791" s="45">
        <f t="shared" si="363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570"/>
      <c r="D792" s="570"/>
      <c r="E792" s="570"/>
      <c r="F792" s="571" t="s">
        <v>186</v>
      </c>
      <c r="G792" s="189"/>
      <c r="H792" s="808" t="s">
        <v>12</v>
      </c>
      <c r="I792" s="805"/>
      <c r="J792" s="805"/>
      <c r="K792" s="806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570"/>
      <c r="D793" s="570"/>
      <c r="E793" s="570"/>
      <c r="F793" s="571" t="s">
        <v>187</v>
      </c>
      <c r="G793" s="189"/>
      <c r="H793" s="808" t="s">
        <v>12</v>
      </c>
      <c r="I793" s="805"/>
      <c r="J793" s="805"/>
      <c r="K793" s="806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570"/>
      <c r="D794" s="570"/>
      <c r="E794" s="570"/>
      <c r="F794" s="571" t="s">
        <v>188</v>
      </c>
      <c r="G794" s="189"/>
      <c r="H794" s="808" t="s">
        <v>12</v>
      </c>
      <c r="I794" s="805"/>
      <c r="J794" s="805"/>
      <c r="K794" s="806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"),191079.57)</f>
        <v>191079.57</v>
      </c>
      <c r="O794" s="38"/>
      <c r="P794" s="38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570"/>
      <c r="D795" s="570"/>
      <c r="E795" s="570"/>
      <c r="F795" s="571" t="s">
        <v>189</v>
      </c>
      <c r="G795" s="189"/>
      <c r="H795" s="808" t="s">
        <v>12</v>
      </c>
      <c r="I795" s="805"/>
      <c r="J795" s="805"/>
      <c r="K795" s="806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"),523464.81)</f>
        <v>523464.81</v>
      </c>
      <c r="O795" s="38"/>
      <c r="P795" s="38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570"/>
      <c r="D796" s="600" t="s">
        <v>21</v>
      </c>
      <c r="E796" s="570"/>
      <c r="F796" s="570"/>
      <c r="G796" s="189"/>
      <c r="H796" s="811" t="s">
        <v>12</v>
      </c>
      <c r="I796" s="809"/>
      <c r="J796" s="809"/>
      <c r="K796" s="810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599"/>
      <c r="C797" s="594"/>
      <c r="D797" s="594"/>
      <c r="E797" s="596" t="s">
        <v>18</v>
      </c>
      <c r="F797" s="594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599"/>
      <c r="C798" s="594"/>
      <c r="D798" s="594"/>
      <c r="E798" s="596" t="s">
        <v>19</v>
      </c>
      <c r="F798" s="594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03"/>
      <c r="C799" s="570" t="s">
        <v>16</v>
      </c>
      <c r="D799" s="754" t="s">
        <v>38</v>
      </c>
      <c r="E799" s="606"/>
      <c r="F799" s="606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03"/>
      <c r="C800" s="603"/>
      <c r="D800" s="603"/>
      <c r="E800" s="613"/>
      <c r="F800" s="187" t="s">
        <v>320</v>
      </c>
      <c r="G800" s="175"/>
      <c r="H800" s="814" t="s">
        <v>34</v>
      </c>
      <c r="I800" s="809"/>
      <c r="J800" s="815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"),476)</f>
        <v>476</v>
      </c>
      <c r="K800" s="806"/>
      <c r="L800" s="38"/>
      <c r="M800" s="38"/>
      <c r="N800" s="38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03"/>
      <c r="C801" s="603"/>
      <c r="D801" s="603"/>
      <c r="E801" s="613"/>
      <c r="F801" s="613"/>
      <c r="G801" s="175"/>
      <c r="H801" s="808" t="s">
        <v>46</v>
      </c>
      <c r="I801" s="815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16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"),6362)</f>
        <v>6362</v>
      </c>
      <c r="K801" s="817">
        <f ca="1">IF(I801&gt;0,J801*100/I801,0)</f>
        <v>19.881250000000001</v>
      </c>
      <c r="L801" s="38"/>
      <c r="M801" s="38"/>
      <c r="N801" s="38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09"/>
      <c r="C802" s="609"/>
      <c r="D802" s="609"/>
      <c r="E802" s="595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"),608)</f>
        <v>608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09"/>
      <c r="C803" s="609"/>
      <c r="D803" s="609"/>
      <c r="E803" s="595"/>
      <c r="F803" s="595"/>
      <c r="G803" s="366"/>
      <c r="H803" s="814" t="s">
        <v>46</v>
      </c>
      <c r="I803" s="815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16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"),7539)</f>
        <v>7539</v>
      </c>
      <c r="K803" s="817">
        <f t="shared" ref="K803:K804" ca="1" si="370">IF(I803&gt;0,J803*100/I803,0)</f>
        <v>50.26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70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594"/>
      <c r="C805" s="594" t="s">
        <v>16</v>
      </c>
      <c r="D805" s="892" t="s">
        <v>17</v>
      </c>
      <c r="E805" s="888"/>
      <c r="F805" s="888"/>
      <c r="G805" s="597"/>
      <c r="H805" s="640" t="s">
        <v>12</v>
      </c>
      <c r="I805" s="44"/>
      <c r="J805" s="44"/>
      <c r="K805" s="45"/>
      <c r="L805" s="641">
        <f t="shared" ref="L805:N805" si="371">L806+L807</f>
        <v>0</v>
      </c>
      <c r="M805" s="641">
        <f t="shared" si="371"/>
        <v>0</v>
      </c>
      <c r="N805" s="641">
        <f t="shared" si="371"/>
        <v>0</v>
      </c>
      <c r="O805" s="641">
        <f t="shared" ref="O805:O810" si="372">IF(L805&gt;0,N805*100/L805,0)</f>
        <v>0</v>
      </c>
      <c r="P805" s="641">
        <f t="shared" ref="P805:P810" si="373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594"/>
      <c r="C806" s="594"/>
      <c r="D806" s="609"/>
      <c r="E806" s="596" t="s">
        <v>184</v>
      </c>
      <c r="F806" s="594"/>
      <c r="G806" s="597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594"/>
      <c r="C807" s="594"/>
      <c r="D807" s="609"/>
      <c r="E807" s="596" t="s">
        <v>185</v>
      </c>
      <c r="F807" s="594"/>
      <c r="G807" s="597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599"/>
      <c r="C808" s="594"/>
      <c r="D808" s="891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76">L809+L810</f>
        <v>0</v>
      </c>
      <c r="M808" s="641">
        <f t="shared" si="376"/>
        <v>0</v>
      </c>
      <c r="N808" s="641">
        <f t="shared" si="376"/>
        <v>0</v>
      </c>
      <c r="O808" s="641">
        <f t="shared" si="372"/>
        <v>0</v>
      </c>
      <c r="P808" s="641">
        <f t="shared" si="373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594"/>
      <c r="C809" s="594"/>
      <c r="D809" s="609"/>
      <c r="E809" s="596" t="s">
        <v>184</v>
      </c>
      <c r="F809" s="594"/>
      <c r="G809" s="597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594"/>
      <c r="C810" s="594"/>
      <c r="D810" s="609"/>
      <c r="E810" s="596" t="s">
        <v>185</v>
      </c>
      <c r="F810" s="594"/>
      <c r="G810" s="597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599"/>
      <c r="C811" s="594"/>
      <c r="D811" s="599"/>
      <c r="E811" s="594"/>
      <c r="F811" s="596" t="s">
        <v>186</v>
      </c>
      <c r="G811" s="597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599"/>
      <c r="C812" s="594"/>
      <c r="D812" s="599"/>
      <c r="E812" s="594"/>
      <c r="F812" s="596" t="s">
        <v>187</v>
      </c>
      <c r="G812" s="597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599"/>
      <c r="C813" s="594"/>
      <c r="D813" s="599"/>
      <c r="E813" s="594"/>
      <c r="F813" s="596" t="s">
        <v>188</v>
      </c>
      <c r="G813" s="597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599"/>
      <c r="C814" s="594"/>
      <c r="D814" s="599"/>
      <c r="E814" s="594"/>
      <c r="F814" s="596" t="s">
        <v>189</v>
      </c>
      <c r="G814" s="597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599"/>
      <c r="C815" s="594"/>
      <c r="D815" s="891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77">L816+L817</f>
        <v>0</v>
      </c>
      <c r="M815" s="641">
        <f t="shared" si="377"/>
        <v>0</v>
      </c>
      <c r="N815" s="641">
        <f t="shared" si="377"/>
        <v>0</v>
      </c>
      <c r="O815" s="641">
        <f t="shared" ref="O815:O817" si="378">IF(L815&gt;0,N815*100/L815,0)</f>
        <v>0</v>
      </c>
      <c r="P815" s="641">
        <f t="shared" ref="P815:P817" si="379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599"/>
      <c r="C816" s="594"/>
      <c r="D816" s="599"/>
      <c r="E816" s="596" t="s">
        <v>18</v>
      </c>
      <c r="F816" s="594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599"/>
      <c r="C817" s="594"/>
      <c r="D817" s="599"/>
      <c r="E817" s="596" t="s">
        <v>19</v>
      </c>
      <c r="F817" s="594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09"/>
      <c r="C818" s="594" t="s">
        <v>16</v>
      </c>
      <c r="D818" s="820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8.75" hidden="1">
      <c r="A819" s="821"/>
      <c r="B819" s="822"/>
      <c r="C819" s="823"/>
      <c r="D819" s="822"/>
      <c r="E819" s="824" t="s">
        <v>323</v>
      </c>
      <c r="F819" s="823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29" t="s">
        <v>324</v>
      </c>
      <c r="B820" s="830"/>
      <c r="C820" s="830"/>
      <c r="D820" s="831"/>
      <c r="E820" s="830"/>
      <c r="F820" s="830"/>
      <c r="G820" s="832"/>
      <c r="H820" s="833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215"/>
      <c r="J820" s="215"/>
      <c r="K820" s="834"/>
      <c r="L820" s="834"/>
      <c r="M820" s="834"/>
      <c r="N820" s="834"/>
      <c r="O820" s="834"/>
      <c r="P820" s="834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571" t="s">
        <v>325</v>
      </c>
      <c r="C821" s="570"/>
      <c r="D821" s="569"/>
      <c r="E821" s="570"/>
      <c r="F821" s="570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"),131461658.519999)</f>
        <v>131461658.519999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"),30804629.08)</f>
        <v>30804629.079999998</v>
      </c>
      <c r="K821" s="38">
        <f t="shared" ref="K821:K828" ca="1" si="380">IF(I821&gt;0,J821*100/I821,0)</f>
        <v>23.43240563583317</v>
      </c>
      <c r="L821" s="38"/>
      <c r="M821" s="38"/>
      <c r="N821" s="38"/>
      <c r="O821" s="38"/>
      <c r="P821" s="38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570"/>
      <c r="C822" s="570"/>
      <c r="D822" s="569"/>
      <c r="E822" s="570"/>
      <c r="F822" s="570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"),8531)</f>
        <v>8531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"),1904)</f>
        <v>1904</v>
      </c>
      <c r="K822" s="38">
        <f t="shared" ca="1" si="380"/>
        <v>22.318602742937522</v>
      </c>
      <c r="L822" s="38"/>
      <c r="M822" s="38"/>
      <c r="N822" s="38"/>
      <c r="O822" s="38"/>
      <c r="P822" s="38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571" t="s">
        <v>326</v>
      </c>
      <c r="C823" s="570"/>
      <c r="D823" s="569"/>
      <c r="E823" s="570"/>
      <c r="F823" s="570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"),10342670.3899999)</f>
        <v>10342670.3899999</v>
      </c>
      <c r="K823" s="38">
        <f t="shared" ca="1" si="380"/>
        <v>6.7142252938380356</v>
      </c>
      <c r="L823" s="38"/>
      <c r="M823" s="38"/>
      <c r="N823" s="38"/>
      <c r="O823" s="38"/>
      <c r="P823" s="38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570"/>
      <c r="C824" s="570"/>
      <c r="D824" s="569"/>
      <c r="E824" s="570"/>
      <c r="F824" s="570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"),1942)</f>
        <v>1942</v>
      </c>
      <c r="K824" s="38">
        <f t="shared" ca="1" si="380"/>
        <v>26.602739726027398</v>
      </c>
      <c r="L824" s="38"/>
      <c r="M824" s="38"/>
      <c r="N824" s="38"/>
      <c r="O824" s="38"/>
      <c r="P824" s="38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571" t="s">
        <v>327</v>
      </c>
      <c r="C825" s="570"/>
      <c r="D825" s="569"/>
      <c r="E825" s="570"/>
      <c r="F825" s="570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"),9851257.22999999)</f>
        <v>9851257.2299999893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"),3204995.63)</f>
        <v>3204995.63</v>
      </c>
      <c r="K825" s="38">
        <f t="shared" ca="1" si="380"/>
        <v>32.533874156080721</v>
      </c>
      <c r="L825" s="38"/>
      <c r="M825" s="38"/>
      <c r="N825" s="38"/>
      <c r="O825" s="38"/>
      <c r="P825" s="38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570"/>
      <c r="C826" s="570"/>
      <c r="D826" s="569"/>
      <c r="E826" s="570"/>
      <c r="F826" s="570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"),1205)</f>
        <v>1205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"),558)</f>
        <v>558</v>
      </c>
      <c r="K826" s="38">
        <f t="shared" ca="1" si="380"/>
        <v>46.307053941908713</v>
      </c>
      <c r="L826" s="38"/>
      <c r="M826" s="38"/>
      <c r="N826" s="38"/>
      <c r="O826" s="38"/>
      <c r="P826" s="38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571" t="s">
        <v>328</v>
      </c>
      <c r="C827" s="570"/>
      <c r="D827" s="569"/>
      <c r="E827" s="570"/>
      <c r="F827" s="570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"),25989696)</f>
        <v>25989696</v>
      </c>
      <c r="K827" s="38">
        <f t="shared" ca="1" si="380"/>
        <v>18.2897227304715</v>
      </c>
      <c r="L827" s="38"/>
      <c r="M827" s="38"/>
      <c r="N827" s="38"/>
      <c r="O827" s="38"/>
      <c r="P827" s="38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0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"),717)</f>
        <v>717</v>
      </c>
      <c r="K828" s="501">
        <f t="shared" ca="1" si="380"/>
        <v>13.849719915008693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H5:H6"/>
    <mergeCell ref="I5:K5"/>
    <mergeCell ref="L5:M5"/>
    <mergeCell ref="N5:P5"/>
    <mergeCell ref="A5:G6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6D2BF-AA0B-4963-8D19-F02501EC493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345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3337288</v>
      </c>
      <c r="N8" s="22">
        <f t="shared" ca="1" si="0"/>
        <v>2851110.1</v>
      </c>
      <c r="O8" s="22">
        <f t="shared" ref="O8:O16" ca="1" si="1">IF(L8&gt;0,N8*100/L8,0)</f>
        <v>42.872088972013323</v>
      </c>
      <c r="P8" s="22">
        <f t="shared" ref="P8:P16" ca="1" si="2">IF(M8&gt;0,N8*100/M8,0)</f>
        <v>85.431946538626576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3337288</v>
      </c>
      <c r="N10" s="30">
        <f t="shared" ca="1" si="3"/>
        <v>2851110.1</v>
      </c>
      <c r="O10" s="30">
        <f t="shared" ca="1" si="1"/>
        <v>42.872088972013323</v>
      </c>
      <c r="P10" s="30">
        <f t="shared" ca="1" si="2"/>
        <v>85.431946538626576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2232688</v>
      </c>
      <c r="N11" s="497">
        <f t="shared" ca="1" si="4"/>
        <v>1856510.1</v>
      </c>
      <c r="O11" s="497">
        <f t="shared" ca="1" si="1"/>
        <v>33.47674429298096</v>
      </c>
      <c r="P11" s="497">
        <f t="shared" ca="1" si="2"/>
        <v>83.151344925936812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5545671</v>
      </c>
      <c r="M13" s="93">
        <f t="shared" ca="1" si="5"/>
        <v>2232688</v>
      </c>
      <c r="N13" s="93">
        <f t="shared" ca="1" si="5"/>
        <v>1856510.1</v>
      </c>
      <c r="O13" s="93">
        <f t="shared" ca="1" si="1"/>
        <v>33.47674429298096</v>
      </c>
      <c r="P13" s="93">
        <f t="shared" ca="1" si="2"/>
        <v>83.151344925936812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1104600</v>
      </c>
      <c r="N14" s="497">
        <f t="shared" ca="1" si="6"/>
        <v>994600</v>
      </c>
      <c r="O14" s="497">
        <f t="shared" ca="1" si="1"/>
        <v>90.041644034039464</v>
      </c>
      <c r="P14" s="497">
        <f t="shared" ca="1" si="2"/>
        <v>90.041644034039464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1104600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90.041644034039464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3337288</v>
      </c>
      <c r="N18" s="22">
        <f t="shared" ca="1" si="8"/>
        <v>2179739.1</v>
      </c>
      <c r="O18" s="22">
        <f t="shared" ref="O18:O26" ca="1" si="9">IF(L18&gt;0,N18*100/L18,0)</f>
        <v>51.075480787931248</v>
      </c>
      <c r="P18" s="22">
        <f t="shared" ref="P18:P26" ca="1" si="10">IF(M18&gt;0,N18*100/M18,0)</f>
        <v>65.314683659306596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3337288</v>
      </c>
      <c r="N20" s="30">
        <f t="shared" ca="1" si="11"/>
        <v>2179739.1</v>
      </c>
      <c r="O20" s="30">
        <f t="shared" ca="1" si="9"/>
        <v>51.075480787931248</v>
      </c>
      <c r="P20" s="30">
        <f t="shared" ca="1" si="10"/>
        <v>65.314683659306596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2232688</v>
      </c>
      <c r="N21" s="497">
        <f t="shared" ca="1" si="12"/>
        <v>1185139.1000000001</v>
      </c>
      <c r="O21" s="497">
        <f t="shared" ca="1" si="9"/>
        <v>37.467858879409391</v>
      </c>
      <c r="P21" s="497">
        <f t="shared" ca="1" si="10"/>
        <v>53.081267960413641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3163082</v>
      </c>
      <c r="M23" s="93">
        <f t="shared" ca="1" si="13"/>
        <v>2232688</v>
      </c>
      <c r="N23" s="93">
        <f t="shared" ca="1" si="13"/>
        <v>1185139.1000000001</v>
      </c>
      <c r="O23" s="93">
        <f t="shared" ca="1" si="9"/>
        <v>37.467858879409391</v>
      </c>
      <c r="P23" s="93">
        <f t="shared" ca="1" si="10"/>
        <v>53.081267960413641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1104600</v>
      </c>
      <c r="N24" s="497">
        <f t="shared" ca="1" si="14"/>
        <v>994600</v>
      </c>
      <c r="O24" s="497">
        <f t="shared" ca="1" si="9"/>
        <v>90.041644034039464</v>
      </c>
      <c r="P24" s="497">
        <f t="shared" ca="1" si="10"/>
        <v>90.041644034039464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1104600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90.041644034039464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si="16"/>
        <v>0</v>
      </c>
      <c r="N28" s="22">
        <f t="shared" si="16"/>
        <v>671371</v>
      </c>
      <c r="O28" s="22">
        <f t="shared" ref="O28:O37" ca="1" si="17">IF(L28&gt;0,N28*100/L28,0)</f>
        <v>28.178212860044262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si="19"/>
        <v>0</v>
      </c>
      <c r="N30" s="30">
        <f t="shared" si="19"/>
        <v>671371</v>
      </c>
      <c r="O30" s="30">
        <f t="shared" ca="1" si="17"/>
        <v>28.178212860044262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si="20"/>
        <v>0</v>
      </c>
      <c r="N31" s="497">
        <f t="shared" si="20"/>
        <v>671371</v>
      </c>
      <c r="O31" s="497">
        <f t="shared" ca="1" si="17"/>
        <v>28.178212860044262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2382589</v>
      </c>
      <c r="M33" s="93">
        <f t="shared" si="21"/>
        <v>0</v>
      </c>
      <c r="N33" s="93">
        <f t="shared" si="21"/>
        <v>671371</v>
      </c>
      <c r="O33" s="93">
        <f t="shared" ca="1" si="17"/>
        <v>28.178212860044262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4267682</v>
      </c>
      <c r="M37" s="843">
        <f t="shared" ca="1" si="24"/>
        <v>3337288</v>
      </c>
      <c r="N37" s="843">
        <f t="shared" ca="1" si="24"/>
        <v>2179739.1</v>
      </c>
      <c r="O37" s="843">
        <f t="shared" ca="1" si="17"/>
        <v>51.075480787931248</v>
      </c>
      <c r="P37" s="843">
        <f t="shared" ca="1" si="18"/>
        <v>65.314683659306596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441943</v>
      </c>
      <c r="N41" s="85">
        <f t="shared" ca="1" si="25"/>
        <v>180504</v>
      </c>
      <c r="O41" s="85">
        <f t="shared" ref="O41:O49" ca="1" si="26">IF(L41&gt;0,N41*100/L41,0)</f>
        <v>41.085077229129013</v>
      </c>
      <c r="P41" s="85">
        <f t="shared" ref="P41:P49" ca="1" si="27">IF(M41&gt;0,N41*100/M41,0)</f>
        <v>40.843276169098729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441943</v>
      </c>
      <c r="N43" s="92">
        <f t="shared" ca="1" si="28"/>
        <v>180504</v>
      </c>
      <c r="O43" s="92">
        <f t="shared" ca="1" si="26"/>
        <v>41.085077229129013</v>
      </c>
      <c r="P43" s="92">
        <f t="shared" ca="1" si="27"/>
        <v>40.843276169098729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441943</v>
      </c>
      <c r="N44" s="497">
        <f t="shared" ca="1" si="29"/>
        <v>180504</v>
      </c>
      <c r="O44" s="497">
        <f t="shared" ca="1" si="26"/>
        <v>41.085077229129013</v>
      </c>
      <c r="P44" s="497">
        <f t="shared" ca="1" si="27"/>
        <v>40.843276169098729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IFERROR(__xludf.DUMMYFUNCTION("IMPORTRANGE(""https://docs.google.com/spreadsheets/d/1MeEWN-I1oV_STSDYn1IFDPWt_1FKiwhDph83XaGc0o0/edit?usp=sharing"",""งบพรบ!R40"")"),441943)</f>
        <v>441943</v>
      </c>
      <c r="N46" s="93">
        <f ca="1">IFERROR(__xludf.DUMMYFUNCTION("IMPORTRANGE(""https://docs.google.com/spreadsheets/d/1MeEWN-I1oV_STSDYn1IFDPWt_1FKiwhDph83XaGc0o0/edit?usp=sharing"",""งบพรบ!T40"")"),180504)</f>
        <v>180504</v>
      </c>
      <c r="O46" s="93">
        <f t="shared" ca="1" si="26"/>
        <v>41.085077229129013</v>
      </c>
      <c r="P46" s="93">
        <f t="shared" ca="1" si="27"/>
        <v>40.843276169098729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522450</v>
      </c>
      <c r="N53" s="116">
        <f t="shared" ca="1" si="31"/>
        <v>279131.09999999998</v>
      </c>
      <c r="O53" s="116">
        <f t="shared" ref="O53:O61" ca="1" si="32">IF(L53&gt;0,N53*100/L53,0)</f>
        <v>40.070499569336775</v>
      </c>
      <c r="P53" s="116">
        <f t="shared" ref="P53:P61" ca="1" si="33">IF(M53&gt;0,N53*100/M53,0)</f>
        <v>53.4273327591157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522450</v>
      </c>
      <c r="N55" s="123">
        <f t="shared" ca="1" si="34"/>
        <v>279131.09999999998</v>
      </c>
      <c r="O55" s="123">
        <f t="shared" ca="1" si="32"/>
        <v>40.070499569336775</v>
      </c>
      <c r="P55" s="123">
        <f t="shared" ca="1" si="33"/>
        <v>53.4273327591157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522450</v>
      </c>
      <c r="N56" s="497">
        <f t="shared" ca="1" si="35"/>
        <v>279131.09999999998</v>
      </c>
      <c r="O56" s="497">
        <f t="shared" ca="1" si="32"/>
        <v>40.070499569336775</v>
      </c>
      <c r="P56" s="497">
        <f t="shared" ca="1" si="33"/>
        <v>53.4273327591157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IFERROR(__xludf.DUMMYFUNCTION("IMPORTRANGE(""https://docs.google.com/spreadsheets/d/1MeEWN-I1oV_STSDYn1IFDPWt_1FKiwhDph83XaGc0o0/edit?usp=sharing"",""งบพรบ!AB40"")"),522450)</f>
        <v>522450</v>
      </c>
      <c r="N58" s="93">
        <f ca="1">IFERROR(__xludf.DUMMYFUNCTION("IMPORTRANGE(""https://docs.google.com/spreadsheets/d/1MeEWN-I1oV_STSDYn1IFDPWt_1FKiwhDph83XaGc0o0/edit?usp=sharing"",""งบพรบ!AD40"")"),279131.1)</f>
        <v>279131.09999999998</v>
      </c>
      <c r="O58" s="93">
        <f t="shared" ca="1" si="32"/>
        <v>40.070499569336775</v>
      </c>
      <c r="P58" s="93">
        <f t="shared" ca="1" si="33"/>
        <v>53.4273327591157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584450</v>
      </c>
      <c r="N66" s="155">
        <f t="shared" ca="1" si="39"/>
        <v>331655</v>
      </c>
      <c r="O66" s="155">
        <f t="shared" ref="O66:O74" ca="1" si="40">IF(L66&gt;0,N66*100/L66,0)</f>
        <v>36.014225214464112</v>
      </c>
      <c r="P66" s="155">
        <f t="shared" ref="P66:P74" ca="1" si="41">IF(M66&gt;0,N66*100/M66,0)</f>
        <v>56.746513816408587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920900</v>
      </c>
      <c r="M68" s="93">
        <f t="shared" ca="1" si="42"/>
        <v>584450</v>
      </c>
      <c r="N68" s="93">
        <f t="shared" ca="1" si="42"/>
        <v>331655</v>
      </c>
      <c r="O68" s="93">
        <f t="shared" ca="1" si="40"/>
        <v>36.014225214464112</v>
      </c>
      <c r="P68" s="93">
        <f t="shared" ca="1" si="41"/>
        <v>56.746513816408587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584450</v>
      </c>
      <c r="N69" s="497">
        <f t="shared" ca="1" si="43"/>
        <v>331655</v>
      </c>
      <c r="O69" s="497">
        <f t="shared" ca="1" si="40"/>
        <v>36.014225214464112</v>
      </c>
      <c r="P69" s="497">
        <f t="shared" ca="1" si="41"/>
        <v>56.746513816408587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IFERROR(__xludf.DUMMYFUNCTION("IMPORTRANGE(""https://docs.google.com/spreadsheets/d/1MeEWN-I1oV_STSDYn1IFDPWt_1FKiwhDph83XaGc0o0/edit?usp=sharing"",""งบพรบ!AL40"")"),584450)</f>
        <v>584450</v>
      </c>
      <c r="N71" s="93">
        <f ca="1">IFERROR(__xludf.DUMMYFUNCTION("IMPORTRANGE(""https://docs.google.com/spreadsheets/d/1MeEWN-I1oV_STSDYn1IFDPWt_1FKiwhDph83XaGc0o0/edit?usp=sharing"",""งบพรบ!AN40"")"),331655)</f>
        <v>331655</v>
      </c>
      <c r="O71" s="93">
        <f t="shared" ca="1" si="40"/>
        <v>36.014225214464112</v>
      </c>
      <c r="P71" s="93">
        <f t="shared" ca="1" si="41"/>
        <v>56.746513816408587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24140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86340</v>
      </c>
      <c r="M90" s="93">
        <f t="shared" ca="1" si="52"/>
        <v>24140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24140</v>
      </c>
      <c r="N91" s="497">
        <f t="shared" ca="1" si="53"/>
        <v>0</v>
      </c>
      <c r="O91" s="497">
        <f t="shared" ca="1" si="50"/>
        <v>0</v>
      </c>
      <c r="P91" s="49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IFERROR(__xludf.DUMMYFUNCTION("IMPORTRANGE(""https://docs.google.com/spreadsheets/d/1MeEWN-I1oV_STSDYn1IFDPWt_1FKiwhDph83XaGc0o0/edit?usp=sharing"",""งบพรบ!AV40"")"),24140)</f>
        <v>24140</v>
      </c>
      <c r="N93" s="93">
        <f ca="1">IFERROR(__xludf.DUMMYFUNCTION("IMPORTRANGE(""https://docs.google.com/spreadsheets/d/1MeEWN-I1oV_STSDYn1IFDPWt_1FKiwhDph83XaGc0o0/edit?usp=sharing"",""งบพรบ!AX40"")"),0)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/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133600</v>
      </c>
      <c r="O132" s="155">
        <f t="shared" ref="O132:O140" ca="1" si="70">IF(L132&gt;0,N132*100/L132,0)</f>
        <v>88.094688602419964</v>
      </c>
      <c r="P132" s="155">
        <f t="shared" ref="P132:P140" ca="1" si="71">IF(M132&gt;0,N132*100/M132,0)</f>
        <v>100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133600</v>
      </c>
      <c r="O134" s="93">
        <f t="shared" ca="1" si="70"/>
        <v>88.094688602419964</v>
      </c>
      <c r="P134" s="93">
        <f t="shared" ca="1" si="71"/>
        <v>100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30600</v>
      </c>
      <c r="N135" s="497">
        <f t="shared" ca="1" si="73"/>
        <v>30600</v>
      </c>
      <c r="O135" s="497">
        <f t="shared" ca="1" si="70"/>
        <v>62.891789127530572</v>
      </c>
      <c r="P135" s="497">
        <f t="shared" ca="1" si="71"/>
        <v>100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IFERROR(__xludf.DUMMYFUNCTION("IMPORTRANGE(""https://docs.google.com/spreadsheets/d/1MeEWN-I1oV_STSDYn1IFDPWt_1FKiwhDph83XaGc0o0/edit?usp=sharing"",""งบพรบ!BP40"")"),30600)</f>
        <v>30600</v>
      </c>
      <c r="N137" s="93">
        <f ca="1">IFERROR(__xludf.DUMMYFUNCTION("IMPORTRANGE(""https://docs.google.com/spreadsheets/d/1MeEWN-I1oV_STSDYn1IFDPWt_1FKiwhDph83XaGc0o0/edit?usp=sharing"",""งบพรบ!BR40"")"),30600)</f>
        <v>30600</v>
      </c>
      <c r="O137" s="93">
        <f t="shared" ca="1" si="70"/>
        <v>62.891789127530572</v>
      </c>
      <c r="P137" s="93">
        <f t="shared" ca="1" si="71"/>
        <v>100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72500</v>
      </c>
      <c r="N181" s="155">
        <f t="shared" ca="1" si="92"/>
        <v>41668</v>
      </c>
      <c r="O181" s="155">
        <f t="shared" ref="O181:O189" ca="1" si="93">IF(L181&gt;0,N181*100/L181,0)</f>
        <v>49.604761904761908</v>
      </c>
      <c r="P181" s="155">
        <f t="shared" ref="P181:P189" ca="1" si="94">IF(M181&gt;0,N181*100/M181,0)</f>
        <v>57.473103448275864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84000</v>
      </c>
      <c r="M183" s="93">
        <f t="shared" ca="1" si="95"/>
        <v>72500</v>
      </c>
      <c r="N183" s="93">
        <f t="shared" ca="1" si="95"/>
        <v>41668</v>
      </c>
      <c r="O183" s="93">
        <f t="shared" ca="1" si="93"/>
        <v>49.604761904761908</v>
      </c>
      <c r="P183" s="93">
        <f t="shared" ca="1" si="94"/>
        <v>57.473103448275864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72500</v>
      </c>
      <c r="N184" s="497">
        <f t="shared" ca="1" si="96"/>
        <v>41668</v>
      </c>
      <c r="O184" s="497">
        <f t="shared" ca="1" si="93"/>
        <v>49.604761904761908</v>
      </c>
      <c r="P184" s="497">
        <f t="shared" ca="1" si="94"/>
        <v>57.473103448275864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IFERROR(__xludf.DUMMYFUNCTION("IMPORTRANGE(""https://docs.google.com/spreadsheets/d/1MeEWN-I1oV_STSDYn1IFDPWt_1FKiwhDph83XaGc0o0/edit?usp=sharing"",""งบพรบ!CT40"")"),72500)</f>
        <v>72500</v>
      </c>
      <c r="N186" s="93">
        <f ca="1">IFERROR(__xludf.DUMMYFUNCTION("IMPORTRANGE(""https://docs.google.com/spreadsheets/d/1MeEWN-I1oV_STSDYn1IFDPWt_1FKiwhDph83XaGc0o0/edit?usp=sharing"",""งบพรบ!CV40"")"),41668)</f>
        <v>41668</v>
      </c>
      <c r="O186" s="93">
        <f t="shared" ca="1" si="93"/>
        <v>49.604761904761908</v>
      </c>
      <c r="P186" s="93">
        <f t="shared" ca="1" si="94"/>
        <v>57.473103448275864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4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14668</v>
      </c>
      <c r="O217" s="155">
        <f ca="1">IF(L217&gt;0,N217*100/L217,0)</f>
        <v>58.671999999999997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4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4">
        <v>7068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4">
        <v>2600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IFERROR(__xludf.DUMMYFUNCTION("IMPORTRANGE(""https://docs.google.com/spreadsheets/d/1MeEWN-I1oV_STSDYn1IFDPWt_1FKiwhDph83XaGc0o0/edit?usp=sharing"",""งบพรบ!DD40"")"),23900)</f>
        <v>23900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50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9510</v>
      </c>
      <c r="O277" s="155">
        <f t="shared" ref="O277:O285" ca="1" si="126">IF(L277&gt;0,N277*100/L277,0)</f>
        <v>42.02386212991604</v>
      </c>
      <c r="P277" s="155">
        <f t="shared" ref="P277:P285" ca="1" si="127">IF(M277&gt;0,N277*100/M277,0)</f>
        <v>42.02386212991604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9510</v>
      </c>
      <c r="O279" s="93">
        <f t="shared" ca="1" si="126"/>
        <v>42.02386212991604</v>
      </c>
      <c r="P279" s="93">
        <f t="shared" ca="1" si="127"/>
        <v>42.02386212991604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9510</v>
      </c>
      <c r="O280" s="497">
        <f t="shared" ca="1" si="126"/>
        <v>42.02386212991604</v>
      </c>
      <c r="P280" s="497">
        <f t="shared" ca="1" si="127"/>
        <v>42.02386212991604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IFERROR(__xludf.DUMMYFUNCTION("IMPORTRANGE(""https://docs.google.com/spreadsheets/d/1MeEWN-I1oV_STSDYn1IFDPWt_1FKiwhDph83XaGc0o0/edit?usp=sharing"",""งบพรบ!DP40"")"),9510)</f>
        <v>9510</v>
      </c>
      <c r="O282" s="93">
        <f t="shared" ca="1" si="126"/>
        <v>42.02386212991604</v>
      </c>
      <c r="P282" s="93">
        <f t="shared" ca="1" si="127"/>
        <v>42.02386212991604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IFERROR(__xludf.DUMMYFUNCTION("IMPORTRANGE(""https://docs.google.com/spreadsheets/d/1QqKyyYR6Q21VydFLVH3TRQUabQu_ym0Zz7PgGX0-kHA/edit?usp=sharing"",""แผน!EB40"")"),5)</f>
        <v>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48870</v>
      </c>
      <c r="O298" s="155">
        <f t="shared" ref="O298:O306" ca="1" si="136">IF(L298&gt;0,N298*100/L298,0)</f>
        <v>59.308252427184463</v>
      </c>
      <c r="P298" s="155">
        <f t="shared" ref="P298:P306" ca="1" si="137">IF(M298&gt;0,N298*100/M298,0)</f>
        <v>99.491042345276867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48870</v>
      </c>
      <c r="O300" s="93">
        <f t="shared" ca="1" si="136"/>
        <v>59.308252427184463</v>
      </c>
      <c r="P300" s="93">
        <f t="shared" ca="1" si="137"/>
        <v>99.491042345276867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48870</v>
      </c>
      <c r="O301" s="497">
        <f t="shared" ca="1" si="136"/>
        <v>59.308252427184463</v>
      </c>
      <c r="P301" s="497">
        <f t="shared" ca="1" si="137"/>
        <v>99.491042345276867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IFERROR(__xludf.DUMMYFUNCTION("IMPORTRANGE(""https://docs.google.com/spreadsheets/d/1MeEWN-I1oV_STSDYn1IFDPWt_1FKiwhDph83XaGc0o0/edit?usp=sharing"",""งบพรบ!DX40"")"),49120)</f>
        <v>49120</v>
      </c>
      <c r="N303" s="93">
        <f ca="1">IFERROR(__xludf.DUMMYFUNCTION("IMPORTRANGE(""https://docs.google.com/spreadsheets/d/1MeEWN-I1oV_STSDYn1IFDPWt_1FKiwhDph83XaGc0o0/edit?usp=sharing"",""งบพรบ!DZ40"")"),48870)</f>
        <v>48870</v>
      </c>
      <c r="O303" s="93">
        <f t="shared" ca="1" si="136"/>
        <v>59.308252427184463</v>
      </c>
      <c r="P303" s="93">
        <f t="shared" ca="1" si="137"/>
        <v>99.491042345276867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1036</v>
      </c>
      <c r="K327" s="445">
        <f ca="1">IF(I327&gt;0,J327*100/I327,0)</f>
        <v>45.043478260869563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935000</v>
      </c>
      <c r="N328" s="155">
        <f t="shared" ca="1" si="149"/>
        <v>782797</v>
      </c>
      <c r="O328" s="155">
        <f t="shared" ref="O328:O336" ca="1" si="150">IF(L328&gt;0,N328*100/L328,0)</f>
        <v>76.744803921568632</v>
      </c>
      <c r="P328" s="155">
        <f t="shared" ref="P328:P336" ca="1" si="151">IF(M328&gt;0,N328*100/M328,0)</f>
        <v>83.721604278074864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1020000</v>
      </c>
      <c r="M330" s="93">
        <f t="shared" ca="1" si="152"/>
        <v>935000</v>
      </c>
      <c r="N330" s="93">
        <f t="shared" ca="1" si="152"/>
        <v>782797</v>
      </c>
      <c r="O330" s="93">
        <f t="shared" ca="1" si="150"/>
        <v>76.744803921568632</v>
      </c>
      <c r="P330" s="93">
        <f t="shared" ca="1" si="151"/>
        <v>83.721604278074864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85000</v>
      </c>
      <c r="N331" s="497">
        <f t="shared" ca="1" si="153"/>
        <v>42797</v>
      </c>
      <c r="O331" s="497">
        <f t="shared" ca="1" si="150"/>
        <v>25.174705882352942</v>
      </c>
      <c r="P331" s="497">
        <f t="shared" ca="1" si="151"/>
        <v>50.349411764705884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IFERROR(__xludf.DUMMYFUNCTION("IMPORTRANGE(""https://docs.google.com/spreadsheets/d/1MeEWN-I1oV_STSDYn1IFDPWt_1FKiwhDph83XaGc0o0/edit?usp=sharing"",""งบพรบ!ER40"")"),85000)</f>
        <v>85000</v>
      </c>
      <c r="N333" s="93">
        <f ca="1">IFERROR(__xludf.DUMMYFUNCTION("IMPORTRANGE(""https://docs.google.com/spreadsheets/d/1MeEWN-I1oV_STSDYn1IFDPWt_1FKiwhDph83XaGc0o0/edit?usp=sharing"",""งบพรบ!ET40"")"),42797)</f>
        <v>42797</v>
      </c>
      <c r="O333" s="93">
        <f t="shared" ca="1" si="150"/>
        <v>25.174705882352942</v>
      </c>
      <c r="P333" s="93">
        <f t="shared" ca="1" si="151"/>
        <v>50.349411764705884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850000</v>
      </c>
      <c r="N334" s="497">
        <f t="shared" ca="1" si="154"/>
        <v>740000</v>
      </c>
      <c r="O334" s="497">
        <f t="shared" ca="1" si="150"/>
        <v>87.058823529411768</v>
      </c>
      <c r="P334" s="497">
        <f t="shared" ca="1" si="151"/>
        <v>87.058823529411768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IFERROR(__xludf.DUMMYFUNCTION("IMPORTRANGE(""https://docs.google.com/spreadsheets/d/1MeEWN-I1oV_STSDYn1IFDPWt_1FKiwhDph83XaGc0o0/edit?usp=sharing"",""งบพรบ!ES40"")"),850000)</f>
        <v>850000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50"/>
        <v>87.058823529411768</v>
      </c>
      <c r="P336" s="93">
        <f t="shared" ca="1" si="151"/>
        <v>87.058823529411768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IFERROR(__xludf.DUMMYFUNCTION("IMPORTRANGE(""https://docs.google.com/spreadsheets/d/1kVcqe37tkHyjCSG3S0O1AXqVkqjo8mSIZil3BcpIysc/edit?usp=sharing"",""ศูนย์!D40"")"),754)</f>
        <v>754</v>
      </c>
      <c r="K338" s="497">
        <f ca="1">IF(I338&gt;0,J338*100/I338,0)</f>
        <v>32.782608695652172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IFERROR(__xludf.DUMMYFUNCTION("IMPORTRANGE(""https://docs.google.com/spreadsheets/d/1kVcqe37tkHyjCSG3S0O1AXqVkqjo8mSIZil3BcpIysc/edit?usp=sharing"",""ศูนย์!E40"")"),2)</f>
        <v>2</v>
      </c>
      <c r="K340" s="497">
        <f ca="1">IF(I340&gt;0,J340*100/I340,0)</f>
        <v>33.333333333333336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IFERROR(__xludf.DUMMYFUNCTION("IMPORTRANGE(""https://docs.google.com/spreadsheets/d/1kVcqe37tkHyjCSG3S0O1AXqVkqjo8mSIZil3BcpIysc/edit?usp=sharing"",""ศูนย์!F40"")"),282)</f>
        <v>282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505500</v>
      </c>
      <c r="N345" s="155">
        <f t="shared" ca="1" si="155"/>
        <v>326049</v>
      </c>
      <c r="O345" s="155">
        <f t="shared" ref="O345:O353" ca="1" si="156">IF(L345&gt;0,N345*100/L345,0)</f>
        <v>45.610189407716199</v>
      </c>
      <c r="P345" s="155">
        <f t="shared" ref="P345:P353" ca="1" si="157">IF(M345&gt;0,N345*100/M345,0)</f>
        <v>64.500296735905039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714860</v>
      </c>
      <c r="M347" s="93">
        <f t="shared" ca="1" si="158"/>
        <v>505500</v>
      </c>
      <c r="N347" s="93">
        <f t="shared" ca="1" si="158"/>
        <v>326049</v>
      </c>
      <c r="O347" s="93">
        <f t="shared" ca="1" si="156"/>
        <v>45.610189407716199</v>
      </c>
      <c r="P347" s="93">
        <f t="shared" ca="1" si="157"/>
        <v>64.500296735905039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353900</v>
      </c>
      <c r="N348" s="497">
        <f t="shared" ca="1" si="159"/>
        <v>174449</v>
      </c>
      <c r="O348" s="497">
        <f t="shared" ca="1" si="156"/>
        <v>30.971309874658239</v>
      </c>
      <c r="P348" s="497">
        <f t="shared" ca="1" si="157"/>
        <v>49.293303192992369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IFERROR(__xludf.DUMMYFUNCTION("IMPORTRANGE(""https://docs.google.com/spreadsheets/d/1MeEWN-I1oV_STSDYn1IFDPWt_1FKiwhDph83XaGc0o0/edit?usp=sharing"",""งบพรบ!FB40"")"),353900)</f>
        <v>353900</v>
      </c>
      <c r="N350" s="93">
        <f ca="1">IFERROR(__xludf.DUMMYFUNCTION("IMPORTRANGE(""https://docs.google.com/spreadsheets/d/1MeEWN-I1oV_STSDYn1IFDPWt_1FKiwhDph83XaGc0o0/edit?usp=sharing"",""งบพรบ!FD40"")"),174449)</f>
        <v>174449</v>
      </c>
      <c r="O350" s="93">
        <f t="shared" ca="1" si="156"/>
        <v>30.971309874658239</v>
      </c>
      <c r="P350" s="93">
        <f t="shared" ca="1" si="157"/>
        <v>49.293303192992369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92</v>
      </c>
      <c r="K355" s="465">
        <f ca="1">IF(I355&gt;0,J355*100/I355,0)</f>
        <v>41.071428571428569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IFERROR(__xludf.DUMMYFUNCTION("IMPORTRANGE(""https://docs.google.com/spreadsheets/d/1XWAQStnk-4SwqDmLtmXYiTMKHgktTP8We1SCoS47DrQ/edit?usp=sharing"",""จัดที่ดิน!W40"")"),177)</f>
        <v>177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IFERROR(__xludf.DUMMYFUNCTION("IMPORTRANGE(""https://docs.google.com/spreadsheets/d/1XWAQStnk-4SwqDmLtmXYiTMKHgktTP8We1SCoS47DrQ/edit?usp=sharing"",""จัดที่ดิน!X40"")"),1085.21)</f>
        <v>1085.21</v>
      </c>
      <c r="K359" s="497">
        <f t="shared" ca="1" si="161"/>
        <v>48.446874999999999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IFERROR(__xludf.DUMMYFUNCTION("IMPORTRANGE(""https://docs.google.com/spreadsheets/d/1XWAQStnk-4SwqDmLtmXYiTMKHgktTP8We1SCoS47DrQ/edit?usp=sharing"",""จัดที่ดิน!Y40"")"),154)</f>
        <v>154</v>
      </c>
      <c r="K360" s="497">
        <f t="shared" ca="1" si="161"/>
        <v>68.75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IFERROR(__xludf.DUMMYFUNCTION("IMPORTRANGE(""https://docs.google.com/spreadsheets/d/1XWAQStnk-4SwqDmLtmXYiTMKHgktTP8We1SCoS47DrQ/edit?usp=sharing"",""จัดที่ดิน!Z40"")"),937.78)</f>
        <v>937.78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IFERROR(__xludf.DUMMYFUNCTION("IMPORTRANGE(""https://docs.google.com/spreadsheets/d/1XWAQStnk-4SwqDmLtmXYiTMKHgktTP8We1SCoS47DrQ/edit?usp=sharing"",""จัดที่ดิน!AA40"")"),92)</f>
        <v>92</v>
      </c>
      <c r="K362" s="497">
        <f t="shared" ca="1" si="161"/>
        <v>41.071428571428569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IFERROR(__xludf.DUMMYFUNCTION("IMPORTRANGE(""https://docs.google.com/spreadsheets/d/1XWAQStnk-4SwqDmLtmXYiTMKHgktTP8We1SCoS47DrQ/edit?usp=sharing"",""จัดที่ดิน!AB40"")"),449.43)</f>
        <v>449.43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186</v>
      </c>
      <c r="K364" s="479">
        <f t="shared" ca="1" si="161"/>
        <v>49.732620320855617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16</v>
      </c>
      <c r="K365" s="491">
        <f t="shared" ca="1" si="161"/>
        <v>66.666666666666671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IFERROR(__xludf.DUMMYFUNCTION("IMPORTRANGE(""https://docs.google.com/spreadsheets/d/1XWAQStnk-4SwqDmLtmXYiTMKHgktTP8We1SCoS47DrQ/edit?usp=sharing"",""จัดที่ดิน!E40"")"),26)</f>
        <v>26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IFERROR(__xludf.DUMMYFUNCTION("IMPORTRANGE(""https://docs.google.com/spreadsheets/d/1XWAQStnk-4SwqDmLtmXYiTMKHgktTP8We1SCoS47DrQ/edit?usp=sharing"",""จัดที่ดิน!F40"")"),71.3)</f>
        <v>71.3</v>
      </c>
      <c r="K369" s="497">
        <f t="shared" ca="1" si="163"/>
        <v>29.708333333333332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IFERROR(__xludf.DUMMYFUNCTION("IMPORTRANGE(""https://docs.google.com/spreadsheets/d/1XWAQStnk-4SwqDmLtmXYiTMKHgktTP8We1SCoS47DrQ/edit?usp=sharing"",""จัดที่ดิน!G40"")"),16)</f>
        <v>16</v>
      </c>
      <c r="K370" s="497">
        <f t="shared" ca="1" si="163"/>
        <v>66.666666666666671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IFERROR(__xludf.DUMMYFUNCTION("IMPORTRANGE(""https://docs.google.com/spreadsheets/d/1XWAQStnk-4SwqDmLtmXYiTMKHgktTP8We1SCoS47DrQ/edit?usp=sharing"",""จัดที่ดิน!H40"")"),33.13)</f>
        <v>33.130000000000003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IFERROR(__xludf.DUMMYFUNCTION("IMPORTRANGE(""https://docs.google.com/spreadsheets/d/1XWAQStnk-4SwqDmLtmXYiTMKHgktTP8We1SCoS47DrQ/edit?usp=sharing"",""จัดที่ดิน!I40"")"),16)</f>
        <v>16</v>
      </c>
      <c r="K372" s="497">
        <f t="shared" ca="1" si="163"/>
        <v>66.666666666666671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IFERROR(__xludf.DUMMYFUNCTION("IMPORTRANGE(""https://docs.google.com/spreadsheets/d/1XWAQStnk-4SwqDmLtmXYiTMKHgktTP8We1SCoS47DrQ/edit?usp=sharing"",""จัดที่ดิน!J40"")"),33.13)</f>
        <v>33.130000000000003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170</v>
      </c>
      <c r="K374" s="491">
        <f t="shared" ca="1" si="163"/>
        <v>48.571428571428569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IFERROR(__xludf.DUMMYFUNCTION("IMPORTRANGE(""https://docs.google.com/spreadsheets/d/1XWAQStnk-4SwqDmLtmXYiTMKHgktTP8We1SCoS47DrQ/edit?usp=sharing"",""จัดที่ดิน!AH40"")"),151)</f>
        <v>151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IFERROR(__xludf.DUMMYFUNCTION("IMPORTRANGE(""https://docs.google.com/spreadsheets/d/1XWAQStnk-4SwqDmLtmXYiTMKHgktTP8We1SCoS47DrQ/edit?usp=sharing"",""จัดที่ดิน!AI40"")"),1013.91)</f>
        <v>1013.91</v>
      </c>
      <c r="K378" s="497">
        <f t="shared" ca="1" si="164"/>
        <v>50.695500000000003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IFERROR(__xludf.DUMMYFUNCTION("IMPORTRANGE(""https://docs.google.com/spreadsheets/d/1XWAQStnk-4SwqDmLtmXYiTMKHgktTP8We1SCoS47DrQ/edit?usp=sharing"",""จัดที่ดิน!AJ40"")"),231)</f>
        <v>231</v>
      </c>
      <c r="K379" s="497">
        <f t="shared" ca="1" si="164"/>
        <v>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IFERROR(__xludf.DUMMYFUNCTION("IMPORTRANGE(""https://docs.google.com/spreadsheets/d/1XWAQStnk-4SwqDmLtmXYiTMKHgktTP8We1SCoS47DrQ/edit?usp=sharing"",""จัดที่ดิน!AK40"")"),1890.12)</f>
        <v>1890.12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IFERROR(__xludf.DUMMYFUNCTION("IMPORTRANGE(""https://docs.google.com/spreadsheets/d/1XWAQStnk-4SwqDmLtmXYiTMKHgktTP8We1SCoS47DrQ/edit?usp=sharing"",""จัดที่ดิน!AL40"")"),170)</f>
        <v>170</v>
      </c>
      <c r="K381" s="497">
        <f t="shared" ca="1" si="164"/>
        <v>48.571428571428569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IFERROR(__xludf.DUMMYFUNCTION("IMPORTRANGE(""https://docs.google.com/spreadsheets/d/1XWAQStnk-4SwqDmLtmXYiTMKHgktTP8We1SCoS47DrQ/edit?usp=sharing"",""จัดที่ดิน!AM40"")"),1387.8)</f>
        <v>1387.8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IFERROR(__xludf.DUMMYFUNCTION("IMPORTRANGE(""https://docs.google.com/spreadsheets/d/1QqKyyYR6Q21VydFLVH3TRQUabQu_ym0Zz7PgGX0-kHA/edit?usp=sharing"",""แผน!EW40"")"),80)</f>
        <v>80</v>
      </c>
      <c r="J385" s="500">
        <f ca="1">IFERROR(__xludf.DUMMYFUNCTION("IMPORTRANGE(""https://docs.google.com/spreadsheets/d/1XWAQStnk-4SwqDmLtmXYiTMKHgktTP8We1SCoS47DrQ/edit?usp=sharing"",""จัดที่ดิน!AP40"")"),0)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2382589</v>
      </c>
      <c r="M414" s="548">
        <f t="shared" si="181"/>
        <v>0</v>
      </c>
      <c r="N414" s="548">
        <f t="shared" si="181"/>
        <v>671371</v>
      </c>
      <c r="O414" s="548">
        <f ca="1">IF(L414&gt;0,N414*100/L414,0)</f>
        <v>28.178212860044262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35</v>
      </c>
      <c r="J417" s="564">
        <f t="shared" ca="1" si="182"/>
        <v>35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si="184"/>
        <v>0</v>
      </c>
      <c r="N419" s="155">
        <f t="shared" si="184"/>
        <v>89480</v>
      </c>
      <c r="O419" s="155">
        <f t="shared" ref="O419:O424" ca="1" si="185">IF(L419&gt;0,N419*100/L419,0)</f>
        <v>77.768120980358077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115060</v>
      </c>
      <c r="M421" s="93">
        <f t="shared" si="187"/>
        <v>0</v>
      </c>
      <c r="N421" s="93">
        <f t="shared" si="187"/>
        <v>89480</v>
      </c>
      <c r="O421" s="93">
        <f t="shared" ca="1" si="185"/>
        <v>77.768120980358077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si="188"/>
        <v>0</v>
      </c>
      <c r="N422" s="497">
        <f t="shared" si="188"/>
        <v>89480</v>
      </c>
      <c r="O422" s="497">
        <f t="shared" ca="1" si="185"/>
        <v>77.768120980358077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v>0</v>
      </c>
      <c r="N424" s="93">
        <f>N425+N426+N427+N428</f>
        <v>89480</v>
      </c>
      <c r="O424" s="93">
        <f t="shared" ca="1" si="185"/>
        <v>77.768120980358077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84800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4680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35</v>
      </c>
      <c r="J433" s="675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IFERROR(__xludf.DUMMYFUNCTION("IMPORTRANGE(""https://docs.google.com/spreadsheets/d/1QqKyyYR6Q21VydFLVH3TRQUabQu_ym0Zz7PgGX0-kHA/edit?usp=sharing"",""แผน!FC40"")"),35)</f>
        <v>35</v>
      </c>
      <c r="J435" s="578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IFERROR(__xludf.DUMMYFUNCTION("IMPORTRANGE(""https://docs.google.com/spreadsheets/d/1QqKyyYR6Q21VydFLVH3TRQUabQu_ym0Zz7PgGX0-kHA/edit?usp=sharing"",""แผน!FD40"")"),0)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IFERROR(__xludf.DUMMYFUNCTION("IMPORTRANGE(""https://docs.google.com/spreadsheets/d/1QqKyyYR6Q21VydFLVH3TRQUabQu_ym0Zz7PgGX0-kHA/edit?usp=sharing"",""แผน!FF40"")"),35)</f>
        <v>35</v>
      </c>
      <c r="J439" s="578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50</v>
      </c>
      <c r="J442" s="584">
        <f t="shared" si="195"/>
        <v>50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120</v>
      </c>
      <c r="J443" s="564">
        <f t="shared" si="196"/>
        <v>120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si="197"/>
        <v>0</v>
      </c>
      <c r="N444" s="195">
        <f t="shared" si="197"/>
        <v>83640</v>
      </c>
      <c r="O444" s="195">
        <f t="shared" ref="O444:O449" ca="1" si="198">IF(L444&gt;0,N444*100/L444,0)</f>
        <v>22.459720730397422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372400</v>
      </c>
      <c r="M446" s="93">
        <f t="shared" si="200"/>
        <v>0</v>
      </c>
      <c r="N446" s="93">
        <f t="shared" si="200"/>
        <v>83640</v>
      </c>
      <c r="O446" s="93">
        <f t="shared" ca="1" si="198"/>
        <v>22.459720730397422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si="201"/>
        <v>0</v>
      </c>
      <c r="N447" s="497">
        <f t="shared" si="201"/>
        <v>83640</v>
      </c>
      <c r="O447" s="497">
        <f t="shared" ca="1" si="198"/>
        <v>22.459720730397422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v>0</v>
      </c>
      <c r="N449" s="93">
        <f>N450+N451+N452+N453</f>
        <v>83640</v>
      </c>
      <c r="O449" s="93">
        <f t="shared" ca="1" si="198"/>
        <v>22.459720730397422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38110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6530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/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IFERROR(__xludf.DUMMYFUNCTION("IMPORTRANGE(""https://docs.google.com/spreadsheets/d/1QqKyyYR6Q21VydFLVH3TRQUabQu_ym0Zz7PgGX0-kHA/edit?usp=sharing"",""แผน!FX40"")"),131)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IFERROR(__xludf.DUMMYFUNCTION("IMPORTRANGE(""https://docs.google.com/spreadsheets/d/1QqKyyYR6Q21VydFLVH3TRQUabQu_ym0Zz7PgGX0-kHA/edit?usp=sharing"",""แผน!FW40"")"),1300)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si="206"/>
        <v>0</v>
      </c>
      <c r="N467" s="195">
        <f t="shared" si="206"/>
        <v>208193</v>
      </c>
      <c r="O467" s="195">
        <f t="shared" ref="O467:O472" ca="1" si="207">IF(L467&gt;0,N467*100/L467,0)</f>
        <v>17.751215427876655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1172838</v>
      </c>
      <c r="M469" s="93">
        <f t="shared" si="209"/>
        <v>0</v>
      </c>
      <c r="N469" s="93">
        <f t="shared" si="209"/>
        <v>208193</v>
      </c>
      <c r="O469" s="93">
        <f t="shared" ca="1" si="207"/>
        <v>17.751215427876655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si="210"/>
        <v>0</v>
      </c>
      <c r="N470" s="497">
        <f t="shared" si="210"/>
        <v>208193</v>
      </c>
      <c r="O470" s="497">
        <f t="shared" ca="1" si="207"/>
        <v>17.751215427876655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v>0</v>
      </c>
      <c r="N472" s="93">
        <f>N473+N474+N475+N476</f>
        <v>208193</v>
      </c>
      <c r="O472" s="93">
        <f t="shared" ca="1" si="207"/>
        <v>17.751215427876655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142461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38567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f>24965+2200</f>
        <v>27165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IFERROR(__xludf.DUMMYFUNCTION("IMPORTRANGE(""https://docs.google.com/spreadsheets/d/1QqKyyYR6Q21VydFLVH3TRQUabQu_ym0Zz7PgGX0-kHA/edit?usp=sharing"",""แผน!GU40"")"),0)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35301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si="236"/>
        <v>0</v>
      </c>
      <c r="N544" s="155">
        <f t="shared" si="236"/>
        <v>162681</v>
      </c>
      <c r="O544" s="155">
        <f t="shared" ref="O544:O549" ca="1" si="237">IF(L544&gt;0,N544*100/L544,0)</f>
        <v>48.043625280927081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338611</v>
      </c>
      <c r="M546" s="93">
        <f t="shared" si="240"/>
        <v>0</v>
      </c>
      <c r="N546" s="93">
        <f t="shared" si="240"/>
        <v>162681</v>
      </c>
      <c r="O546" s="93">
        <f t="shared" ca="1" si="237"/>
        <v>48.043625280927081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si="241"/>
        <v>0</v>
      </c>
      <c r="N547" s="497">
        <f t="shared" si="241"/>
        <v>162681</v>
      </c>
      <c r="O547" s="497">
        <f t="shared" ca="1" si="237"/>
        <v>48.043625280927081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v>0</v>
      </c>
      <c r="N549" s="93">
        <f>N550+N551+N552+N553+N554</f>
        <v>162681</v>
      </c>
      <c r="O549" s="93">
        <f t="shared" ca="1" si="237"/>
        <v>48.043625280927081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38557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107407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16717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35301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1102.94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IFERROR(__xludf.DUMMYFUNCTION("IMPORTRANGE(""https://docs.google.com/spreadsheets/d/1QqKyyYR6Q21VydFLVH3TRQUabQu_ym0Zz7PgGX0-kHA/edit?usp=sharing"",""แผน!HL40"")"),6)</f>
        <v>6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IFERROR(__xludf.DUMMYFUNCTION("IMPORTRANGE(""https://docs.google.com/spreadsheets/d/1QqKyyYR6Q21VydFLVH3TRQUabQu_ym0Zz7PgGX0-kHA/edit?usp=sharing"",""แผน!HK40"")"),2)</f>
        <v>2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100</v>
      </c>
      <c r="J628" s="735">
        <f t="shared" ca="1" si="262"/>
        <v>71</v>
      </c>
      <c r="K628" s="736">
        <f ca="1">IF(I628&gt;0,J628*100/I628,0)</f>
        <v>71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si="263"/>
        <v>0</v>
      </c>
      <c r="N629" s="195">
        <f t="shared" si="263"/>
        <v>127377</v>
      </c>
      <c r="O629" s="195">
        <f t="shared" ref="O629:O634" ca="1" si="264">IF(L629&gt;0,N629*100/L629,0)</f>
        <v>33.198759382819013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383680</v>
      </c>
      <c r="M631" s="93">
        <f t="shared" si="266"/>
        <v>0</v>
      </c>
      <c r="N631" s="93">
        <f t="shared" si="266"/>
        <v>127377</v>
      </c>
      <c r="O631" s="93">
        <f t="shared" ca="1" si="264"/>
        <v>33.198759382819013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si="267"/>
        <v>0</v>
      </c>
      <c r="N632" s="497">
        <f t="shared" si="267"/>
        <v>127377</v>
      </c>
      <c r="O632" s="497">
        <f t="shared" ca="1" si="264"/>
        <v>33.198759382819013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v>0</v>
      </c>
      <c r="N634" s="93">
        <f>N635+N636+N637+N638</f>
        <v>127377</v>
      </c>
      <c r="O634" s="93">
        <f t="shared" ca="1" si="264"/>
        <v>33.198759382819013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38557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88820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IFERROR(__xludf.DUMMYFUNCTION("IMPORTRANGE(""https://docs.google.com/spreadsheets/d/1XWAQStnk-4SwqDmLtmXYiTMKHgktTP8We1SCoS47DrQ/edit?usp=sharing"",""จัดที่ดิน!AS40"")"),1)</f>
        <v>1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IFERROR(__xludf.DUMMYFUNCTION("IMPORTRANGE(""https://docs.google.com/spreadsheets/d/1XWAQStnk-4SwqDmLtmXYiTMKHgktTP8We1SCoS47DrQ/edit?usp=sharing"",""จัดที่ดิน!AT40"")"),0.11)</f>
        <v>0.11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IFERROR(__xludf.DUMMYFUNCTION("IMPORTRANGE(""https://docs.google.com/spreadsheets/d/1XWAQStnk-4SwqDmLtmXYiTMKHgktTP8We1SCoS47DrQ/edit?usp=sharing"",""จัดที่ดิน!AU40"")"),70)</f>
        <v>70</v>
      </c>
      <c r="K647" s="163">
        <f t="shared" ca="1" si="271"/>
        <v>70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IFERROR(__xludf.DUMMYFUNCTION("IMPORTRANGE(""https://docs.google.com/spreadsheets/d/1XWAQStnk-4SwqDmLtmXYiTMKHgktTP8We1SCoS47DrQ/edit?usp=sharing"",""จัดที่ดิน!AV40"")"),47.86)</f>
        <v>47.86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IFERROR(__xludf.DUMMYFUNCTION("IMPORTRANGE(""https://docs.google.com/spreadsheets/d/1XWAQStnk-4SwqDmLtmXYiTMKHgktTP8We1SCoS47DrQ/edit?usp=sharing"",""จัดที่ดิน!AW40"")"),72)</f>
        <v>72</v>
      </c>
      <c r="K649" s="163">
        <f t="shared" ca="1" si="271"/>
        <v>72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IFERROR(__xludf.DUMMYFUNCTION("IMPORTRANGE(""https://docs.google.com/spreadsheets/d/1XWAQStnk-4SwqDmLtmXYiTMKHgktTP8We1SCoS47DrQ/edit?usp=sharing"",""จัดที่ดิน!AX40"")"),49.3)</f>
        <v>49.3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IFERROR(__xludf.DUMMYFUNCTION("IMPORTRANGE(""https://docs.google.com/spreadsheets/d/1XWAQStnk-4SwqDmLtmXYiTMKHgktTP8We1SCoS47DrQ/edit?usp=sharing"",""จัดที่ดิน!AY40"")"),71)</f>
        <v>71</v>
      </c>
      <c r="K651" s="163">
        <f t="shared" ca="1" si="271"/>
        <v>71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IFERROR(__xludf.DUMMYFUNCTION("IMPORTRANGE(""https://docs.google.com/spreadsheets/d/1XWAQStnk-4SwqDmLtmXYiTMKHgktTP8We1SCoS47DrQ/edit?usp=sharing"",""จัดที่ดิน!AZ40"")"),49)</f>
        <v>49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IFERROR(__xludf.DUMMYFUNCTION("IMPORTRANGE(""https://docs.google.com/spreadsheets/d/1QqKyyYR6Q21VydFLVH3TRQUabQu_ym0Zz7PgGX0-kHA/edit?usp=sharing"",""แผน!IA40"")"),0)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IFERROR(__xludf.DUMMYFUNCTION("IMPORTRANGE(""https://docs.google.com/spreadsheets/d/1QqKyyYR6Q21VydFLVH3TRQUabQu_ym0Zz7PgGX0-kHA/edit?usp=sharing"",""แผน!IB40"")"),0)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IFERROR(__xludf.DUMMYFUNCTION("IMPORTRANGE(""https://docs.google.com/spreadsheets/d/1QqKyyYR6Q21VydFLVH3TRQUabQu_ym0Zz7PgGX0-kHA/edit?usp=sharing"",""แผน!IE40"")"),0)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IFERROR(__xludf.DUMMYFUNCTION("IMPORTRANGE(""https://docs.google.com/spreadsheets/d/1QqKyyYR6Q21VydFLVH3TRQUabQu_ym0Zz7PgGX0-kHA/edit?usp=sharing"",""แผน!IH40"")"),0)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IFERROR(__xludf.DUMMYFUNCTION("IMPORTRANGE(""https://docs.google.com/spreadsheets/d/1QqKyyYR6Q21VydFLVH3TRQUabQu_ym0Zz7PgGX0-kHA/edit?usp=sharing"",""แผน!IJ40"")"),0)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IFERROR(__xludf.DUMMYFUNCTION("IMPORTRANGE(""https://docs.google.com/spreadsheets/d/1QqKyyYR6Q21VydFLVH3TRQUabQu_ym0Zz7PgGX0-kHA/edit?usp=sharing"",""แผน!IK40"")"),0)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IFERROR(__xludf.DUMMYFUNCTION("IMPORTRANGE(""https://docs.google.com/spreadsheets/d/1QqKyyYR6Q21VydFLVH3TRQUabQu_ym0Zz7PgGX0-kHA/edit?usp=sharing"",""แผน!IP40"")"),0)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IFERROR(__xludf.DUMMYFUNCTION("IMPORTRANGE(""https://docs.google.com/spreadsheets/d/19vJNZY_5yjcGF2XGBMNZRCAIB0Kwfpjp8YEOfu-bneM/edit?usp=sharing"",""งานกองทุน!F40"")"),486745.08)</f>
        <v>486745.08</v>
      </c>
      <c r="K821" s="497">
        <f t="shared" ref="K821:K828" ca="1" si="335">IF(I821&gt;0,J821*100/I821,0)</f>
        <v>8.0210748947848867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IFERROR(__xludf.DUMMYFUNCTION("IMPORTRANGE(""https://docs.google.com/spreadsheets/d/19vJNZY_5yjcGF2XGBMNZRCAIB0Kwfpjp8YEOfu-bneM/edit?usp=sharing"",""งานกองทุน!E40"")"),40)</f>
        <v>40</v>
      </c>
      <c r="K822" s="497">
        <f t="shared" ca="1" si="335"/>
        <v>7.5471698113207548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IFERROR(__xludf.DUMMYFUNCTION("IMPORTRANGE(""https://docs.google.com/spreadsheets/d/19vJNZY_5yjcGF2XGBMNZRCAIB0Kwfpjp8YEOfu-bneM/edit?usp=sharing"",""งานกองทุน!K40"")"),259579.82)</f>
        <v>259579.82</v>
      </c>
      <c r="K823" s="497">
        <f t="shared" ca="1" si="335"/>
        <v>6.7346240640110091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IFERROR(__xludf.DUMMYFUNCTION("IMPORTRANGE(""https://docs.google.com/spreadsheets/d/19vJNZY_5yjcGF2XGBMNZRCAIB0Kwfpjp8YEOfu-bneM/edit?usp=sharing"",""งานกองทุน!J40"")"),71)</f>
        <v>71</v>
      </c>
      <c r="K824" s="497">
        <f t="shared" ca="1" si="335"/>
        <v>30.472103004291846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IFERROR(__xludf.DUMMYFUNCTION("IMPORTRANGE(""https://docs.google.com/spreadsheets/d/19vJNZY_5yjcGF2XGBMNZRCAIB0Kwfpjp8YEOfu-bneM/edit?usp=sharing"",""งานกองทุน!R40"")"),203)</f>
        <v>203</v>
      </c>
      <c r="J828" s="500">
        <f ca="1">IFERROR(__xludf.DUMMYFUNCTION("IMPORTRANGE(""https://docs.google.com/spreadsheets/d/19vJNZY_5yjcGF2XGBMNZRCAIB0Kwfpjp8YEOfu-bneM/edit?usp=sharing"",""งานกองทุน!T40"")"),0)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E038B-20B6-4DE0-B656-917042F6D81E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346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3206563.9</v>
      </c>
      <c r="N8" s="22">
        <f t="shared" ca="1" si="0"/>
        <v>2254404.2599999998</v>
      </c>
      <c r="O8" s="22">
        <f t="shared" ref="O8:O16" ca="1" si="1">IF(L8&gt;0,N8*100/L8,0)</f>
        <v>36.964397403905288</v>
      </c>
      <c r="P8" s="22">
        <f t="shared" ref="P8:P16" ca="1" si="2">IF(M8&gt;0,N8*100/M8,0)</f>
        <v>70.305920303038391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3206563.9</v>
      </c>
      <c r="N10" s="30">
        <f t="shared" ca="1" si="3"/>
        <v>2254404.2599999998</v>
      </c>
      <c r="O10" s="30">
        <f t="shared" ca="1" si="1"/>
        <v>36.964397403905288</v>
      </c>
      <c r="P10" s="30">
        <f t="shared" ca="1" si="2"/>
        <v>70.305920303038391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2819263.9</v>
      </c>
      <c r="N11" s="497">
        <f t="shared" ca="1" si="4"/>
        <v>1867104.26</v>
      </c>
      <c r="O11" s="497">
        <f t="shared" ca="1" si="1"/>
        <v>32.689957705023488</v>
      </c>
      <c r="P11" s="497">
        <f t="shared" ca="1" si="2"/>
        <v>66.226657958483415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5711553</v>
      </c>
      <c r="M13" s="93">
        <f t="shared" ca="1" si="5"/>
        <v>2819263.9</v>
      </c>
      <c r="N13" s="93">
        <f t="shared" ca="1" si="5"/>
        <v>1867104.26</v>
      </c>
      <c r="O13" s="93">
        <f t="shared" ca="1" si="1"/>
        <v>32.689957705023488</v>
      </c>
      <c r="P13" s="93">
        <f t="shared" ca="1" si="2"/>
        <v>66.226657958483415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387300</v>
      </c>
      <c r="N14" s="497">
        <f t="shared" ca="1" si="6"/>
        <v>387300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387300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3206563.9</v>
      </c>
      <c r="N18" s="22">
        <f t="shared" ca="1" si="8"/>
        <v>1874510.26</v>
      </c>
      <c r="O18" s="22">
        <f t="shared" ref="O18:O26" ca="1" si="9">IF(L18&gt;0,N18*100/L18,0)</f>
        <v>44.995553517891302</v>
      </c>
      <c r="P18" s="22">
        <f t="shared" ref="P18:P26" ca="1" si="10">IF(M18&gt;0,N18*100/M18,0)</f>
        <v>58.45853438317571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3206563.9</v>
      </c>
      <c r="N20" s="30">
        <f t="shared" ca="1" si="11"/>
        <v>1874510.26</v>
      </c>
      <c r="O20" s="30">
        <f t="shared" ca="1" si="9"/>
        <v>44.995553517891302</v>
      </c>
      <c r="P20" s="30">
        <f t="shared" ca="1" si="10"/>
        <v>58.45853438317571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2819263.9</v>
      </c>
      <c r="N21" s="497">
        <f t="shared" ca="1" si="12"/>
        <v>1487210.26</v>
      </c>
      <c r="O21" s="497">
        <f t="shared" ca="1" si="9"/>
        <v>39.357826654210854</v>
      </c>
      <c r="P21" s="497">
        <f t="shared" ca="1" si="10"/>
        <v>52.751722178260785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3778690</v>
      </c>
      <c r="M23" s="93">
        <f t="shared" ca="1" si="13"/>
        <v>2819263.9</v>
      </c>
      <c r="N23" s="93">
        <f t="shared" ca="1" si="13"/>
        <v>1487210.26</v>
      </c>
      <c r="O23" s="93">
        <f t="shared" ca="1" si="9"/>
        <v>39.357826654210854</v>
      </c>
      <c r="P23" s="93">
        <f t="shared" ca="1" si="10"/>
        <v>52.751722178260785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387300</v>
      </c>
      <c r="N24" s="497">
        <f t="shared" ca="1" si="14"/>
        <v>387300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387300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si="16"/>
        <v>0</v>
      </c>
      <c r="N28" s="22">
        <f t="shared" si="16"/>
        <v>379894</v>
      </c>
      <c r="O28" s="22">
        <f t="shared" ref="O28:O37" ca="1" si="17">IF(L28&gt;0,N28*100/L28,0)</f>
        <v>19.654471113576079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si="19"/>
        <v>0</v>
      </c>
      <c r="N30" s="30">
        <f t="shared" si="19"/>
        <v>379894</v>
      </c>
      <c r="O30" s="30">
        <f t="shared" ca="1" si="17"/>
        <v>19.654471113576079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si="20"/>
        <v>0</v>
      </c>
      <c r="N31" s="497">
        <f t="shared" si="20"/>
        <v>379894</v>
      </c>
      <c r="O31" s="497">
        <f t="shared" ca="1" si="17"/>
        <v>19.654471113576079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1932863</v>
      </c>
      <c r="M33" s="93">
        <f t="shared" si="21"/>
        <v>0</v>
      </c>
      <c r="N33" s="93">
        <f t="shared" si="21"/>
        <v>379894</v>
      </c>
      <c r="O33" s="93">
        <f t="shared" ca="1" si="17"/>
        <v>19.654471113576079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4165990</v>
      </c>
      <c r="M37" s="843">
        <f t="shared" ca="1" si="24"/>
        <v>3206563.9</v>
      </c>
      <c r="N37" s="843">
        <f t="shared" ca="1" si="24"/>
        <v>1874510.26</v>
      </c>
      <c r="O37" s="843">
        <f t="shared" ca="1" si="17"/>
        <v>44.995553517891302</v>
      </c>
      <c r="P37" s="843">
        <f t="shared" ca="1" si="18"/>
        <v>58.45853438317571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639358.9</v>
      </c>
      <c r="N41" s="85">
        <f t="shared" ca="1" si="25"/>
        <v>243987</v>
      </c>
      <c r="O41" s="85">
        <f t="shared" ref="O41:O49" ca="1" si="26">IF(L41&gt;0,N41*100/L41,0)</f>
        <v>38.562825983878618</v>
      </c>
      <c r="P41" s="85">
        <f t="shared" ref="P41:P49" ca="1" si="27">IF(M41&gt;0,N41*100/M41,0)</f>
        <v>38.161195535089917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639358.9</v>
      </c>
      <c r="N43" s="92">
        <f t="shared" ca="1" si="28"/>
        <v>243987</v>
      </c>
      <c r="O43" s="92">
        <f t="shared" ca="1" si="26"/>
        <v>38.562825983878618</v>
      </c>
      <c r="P43" s="92">
        <f t="shared" ca="1" si="27"/>
        <v>38.161195535089917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639358.9</v>
      </c>
      <c r="N44" s="497">
        <f t="shared" ca="1" si="29"/>
        <v>243987</v>
      </c>
      <c r="O44" s="497">
        <f t="shared" ca="1" si="26"/>
        <v>38.562825983878618</v>
      </c>
      <c r="P44" s="497">
        <f t="shared" ca="1" si="27"/>
        <v>38.161195535089917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IFERROR(__xludf.DUMMYFUNCTION("IMPORTRANGE(""https://docs.google.com/spreadsheets/d/1MeEWN-I1oV_STSDYn1IFDPWt_1FKiwhDph83XaGc0o0/edit?usp=sharing"",""งบพรบ!R41"")"),639358.9)</f>
        <v>639358.9</v>
      </c>
      <c r="N46" s="93">
        <f ca="1">IFERROR(__xludf.DUMMYFUNCTION("IMPORTRANGE(""https://docs.google.com/spreadsheets/d/1MeEWN-I1oV_STSDYn1IFDPWt_1FKiwhDph83XaGc0o0/edit?usp=sharing"",""งบพรบ!T41"")"),243987)</f>
        <v>243987</v>
      </c>
      <c r="O46" s="93">
        <f t="shared" ca="1" si="26"/>
        <v>38.562825983878618</v>
      </c>
      <c r="P46" s="93">
        <f t="shared" ca="1" si="27"/>
        <v>38.161195535089917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942950</v>
      </c>
      <c r="N53" s="116">
        <f t="shared" ca="1" si="31"/>
        <v>527701.26</v>
      </c>
      <c r="O53" s="116">
        <f t="shared" ref="O53:O61" ca="1" si="32">IF(L53&gt;0,N53*100/L53,0)</f>
        <v>52.180486502521504</v>
      </c>
      <c r="P53" s="116">
        <f t="shared" ref="P53:P61" ca="1" si="33">IF(M53&gt;0,N53*100/M53,0)</f>
        <v>55.962803966276049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942950</v>
      </c>
      <c r="N55" s="123">
        <f t="shared" ca="1" si="34"/>
        <v>527701.26</v>
      </c>
      <c r="O55" s="123">
        <f t="shared" ca="1" si="32"/>
        <v>52.180486502521504</v>
      </c>
      <c r="P55" s="123">
        <f t="shared" ca="1" si="33"/>
        <v>55.962803966276049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777050</v>
      </c>
      <c r="N56" s="497">
        <f t="shared" ca="1" si="35"/>
        <v>361801.26</v>
      </c>
      <c r="O56" s="497">
        <f t="shared" ca="1" si="32"/>
        <v>42.796458481192332</v>
      </c>
      <c r="P56" s="497">
        <f t="shared" ca="1" si="33"/>
        <v>46.560872530725177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IFERROR(__xludf.DUMMYFUNCTION("IMPORTRANGE(""https://docs.google.com/spreadsheets/d/1MeEWN-I1oV_STSDYn1IFDPWt_1FKiwhDph83XaGc0o0/edit?usp=sharing"",""งบพรบ!AB41"")"),777050)</f>
        <v>777050</v>
      </c>
      <c r="N58" s="93">
        <f ca="1">IFERROR(__xludf.DUMMYFUNCTION("IMPORTRANGE(""https://docs.google.com/spreadsheets/d/1MeEWN-I1oV_STSDYn1IFDPWt_1FKiwhDph83XaGc0o0/edit?usp=sharing"",""งบพรบ!AD41"")"),361801.26)</f>
        <v>361801.26</v>
      </c>
      <c r="O58" s="93">
        <f t="shared" ca="1" si="32"/>
        <v>42.796458481192332</v>
      </c>
      <c r="P58" s="93">
        <f t="shared" ca="1" si="33"/>
        <v>46.560872530725177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402500</v>
      </c>
      <c r="N66" s="155">
        <f t="shared" ca="1" si="39"/>
        <v>322510</v>
      </c>
      <c r="O66" s="155">
        <f t="shared" ref="O66:O74" ca="1" si="40">IF(L66&gt;0,N66*100/L66,0)</f>
        <v>46.271162123385942</v>
      </c>
      <c r="P66" s="155">
        <f t="shared" ref="P66:P74" ca="1" si="41">IF(M66&gt;0,N66*100/M66,0)</f>
        <v>80.126708074534164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697000</v>
      </c>
      <c r="M68" s="93">
        <f t="shared" ca="1" si="42"/>
        <v>402500</v>
      </c>
      <c r="N68" s="93">
        <f t="shared" ca="1" si="42"/>
        <v>322510</v>
      </c>
      <c r="O68" s="93">
        <f t="shared" ca="1" si="40"/>
        <v>46.271162123385942</v>
      </c>
      <c r="P68" s="93">
        <f t="shared" ca="1" si="41"/>
        <v>80.126708074534164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402500</v>
      </c>
      <c r="N69" s="497">
        <f t="shared" ca="1" si="43"/>
        <v>322510</v>
      </c>
      <c r="O69" s="497">
        <f t="shared" ca="1" si="40"/>
        <v>46.271162123385942</v>
      </c>
      <c r="P69" s="497">
        <f t="shared" ca="1" si="41"/>
        <v>80.126708074534164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IFERROR(__xludf.DUMMYFUNCTION("IMPORTRANGE(""https://docs.google.com/spreadsheets/d/1MeEWN-I1oV_STSDYn1IFDPWt_1FKiwhDph83XaGc0o0/edit?usp=sharing"",""งบพรบ!AL41"")"),402500)</f>
        <v>402500</v>
      </c>
      <c r="N71" s="93">
        <f ca="1">IFERROR(__xludf.DUMMYFUNCTION("IMPORTRANGE(""https://docs.google.com/spreadsheets/d/1MeEWN-I1oV_STSDYn1IFDPWt_1FKiwhDph83XaGc0o0/edit?usp=sharing"",""งบพรบ!AN41"")"),322510)</f>
        <v>322510</v>
      </c>
      <c r="O71" s="93">
        <f t="shared" ca="1" si="40"/>
        <v>46.271162123385942</v>
      </c>
      <c r="P71" s="93">
        <f t="shared" ca="1" si="41"/>
        <v>80.126708074534164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/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/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46680</v>
      </c>
      <c r="N88" s="155">
        <f t="shared" ca="1" si="49"/>
        <v>43040</v>
      </c>
      <c r="O88" s="155">
        <f t="shared" ref="O88:O96" ca="1" si="50">IF(L88&gt;0,N88*100/L88,0)</f>
        <v>38.469789059706827</v>
      </c>
      <c r="P88" s="155">
        <f t="shared" ref="P88:P96" ca="1" si="51">IF(M88&gt;0,N88*100/M88,0)</f>
        <v>92.202227934875751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111880</v>
      </c>
      <c r="M90" s="93">
        <f t="shared" ca="1" si="52"/>
        <v>46680</v>
      </c>
      <c r="N90" s="93">
        <f t="shared" ca="1" si="52"/>
        <v>43040</v>
      </c>
      <c r="O90" s="93">
        <f t="shared" ca="1" si="50"/>
        <v>38.469789059706827</v>
      </c>
      <c r="P90" s="93">
        <f t="shared" ca="1" si="51"/>
        <v>92.202227934875751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46680</v>
      </c>
      <c r="N91" s="497">
        <f t="shared" ca="1" si="53"/>
        <v>43040</v>
      </c>
      <c r="O91" s="497">
        <f t="shared" ca="1" si="50"/>
        <v>38.469789059706827</v>
      </c>
      <c r="P91" s="497">
        <f t="shared" ca="1" si="51"/>
        <v>92.202227934875751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IFERROR(__xludf.DUMMYFUNCTION("IMPORTRANGE(""https://docs.google.com/spreadsheets/d/1MeEWN-I1oV_STSDYn1IFDPWt_1FKiwhDph83XaGc0o0/edit?usp=sharing"",""งบพรบ!AV41"")"),46680)</f>
        <v>46680</v>
      </c>
      <c r="N93" s="93">
        <f ca="1">IFERROR(__xludf.DUMMYFUNCTION("IMPORTRANGE(""https://docs.google.com/spreadsheets/d/1MeEWN-I1oV_STSDYn1IFDPWt_1FKiwhDph83XaGc0o0/edit?usp=sharing"",""งบพรบ!AX41"")"),43040)</f>
        <v>43040</v>
      </c>
      <c r="O93" s="93">
        <f t="shared" ca="1" si="50"/>
        <v>38.469789059706827</v>
      </c>
      <c r="P93" s="93">
        <f t="shared" ca="1" si="51"/>
        <v>92.202227934875751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386650</v>
      </c>
      <c r="N132" s="155">
        <f t="shared" ca="1" si="69"/>
        <v>272198</v>
      </c>
      <c r="O132" s="155">
        <f t="shared" ref="O132:O140" ca="1" si="70">IF(L132&gt;0,N132*100/L132,0)</f>
        <v>55.657952582020428</v>
      </c>
      <c r="P132" s="155">
        <f t="shared" ref="P132:P140" ca="1" si="71">IF(M132&gt;0,N132*100/M132,0)</f>
        <v>70.399068925384711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489055</v>
      </c>
      <c r="M134" s="93">
        <f t="shared" ca="1" si="72"/>
        <v>386650</v>
      </c>
      <c r="N134" s="93">
        <f t="shared" ca="1" si="72"/>
        <v>272198</v>
      </c>
      <c r="O134" s="93">
        <f t="shared" ca="1" si="70"/>
        <v>55.657952582020428</v>
      </c>
      <c r="P134" s="93">
        <f t="shared" ca="1" si="71"/>
        <v>70.399068925384711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283650</v>
      </c>
      <c r="N135" s="497">
        <f t="shared" ca="1" si="73"/>
        <v>169198</v>
      </c>
      <c r="O135" s="497">
        <f t="shared" ca="1" si="70"/>
        <v>43.827433914856691</v>
      </c>
      <c r="P135" s="497">
        <f t="shared" ca="1" si="71"/>
        <v>59.650273224043715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IFERROR(__xludf.DUMMYFUNCTION("IMPORTRANGE(""https://docs.google.com/spreadsheets/d/1MeEWN-I1oV_STSDYn1IFDPWt_1FKiwhDph83XaGc0o0/edit?usp=sharing"",""งบพรบ!BP41"")"),283650)</f>
        <v>283650</v>
      </c>
      <c r="N137" s="93">
        <f ca="1">IFERROR(__xludf.DUMMYFUNCTION("IMPORTRANGE(""https://docs.google.com/spreadsheets/d/1MeEWN-I1oV_STSDYn1IFDPWt_1FKiwhDph83XaGc0o0/edit?usp=sharing"",""งบพรบ!BR41"")"),169198)</f>
        <v>169198</v>
      </c>
      <c r="O137" s="93">
        <f t="shared" ca="1" si="70"/>
        <v>43.827433914856691</v>
      </c>
      <c r="P137" s="93">
        <f t="shared" ca="1" si="71"/>
        <v>59.650273224043715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2194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27.98469387755102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2194</v>
      </c>
      <c r="O151" s="93">
        <f t="shared" ca="1" si="78"/>
        <v>0</v>
      </c>
      <c r="P151" s="93">
        <f t="shared" ca="1" si="79"/>
        <v>27.98469387755102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2194</v>
      </c>
      <c r="O152" s="497">
        <f t="shared" ca="1" si="78"/>
        <v>0</v>
      </c>
      <c r="P152" s="497">
        <f t="shared" ca="1" si="79"/>
        <v>27.98469387755102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IFERROR(__xludf.DUMMYFUNCTION("IMPORTRANGE(""https://docs.google.com/spreadsheets/d/1MeEWN-I1oV_STSDYn1IFDPWt_1FKiwhDph83XaGc0o0/edit?usp=sharing"",""งบพรบ!CB41"")"),2194)</f>
        <v>2194</v>
      </c>
      <c r="O154" s="93">
        <f t="shared" ca="1" si="78"/>
        <v>0</v>
      </c>
      <c r="P154" s="93">
        <f t="shared" ca="1" si="79"/>
        <v>27.98469387755102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62500</v>
      </c>
      <c r="N181" s="155">
        <f t="shared" ca="1" si="92"/>
        <v>35000</v>
      </c>
      <c r="O181" s="155">
        <f t="shared" ref="O181:O189" ca="1" si="93">IF(L181&gt;0,N181*100/L181,0)</f>
        <v>48.275862068965516</v>
      </c>
      <c r="P181" s="155">
        <f t="shared" ref="P181:P189" ca="1" si="94">IF(M181&gt;0,N181*100/M181,0)</f>
        <v>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72500</v>
      </c>
      <c r="M183" s="93">
        <f t="shared" ca="1" si="95"/>
        <v>62500</v>
      </c>
      <c r="N183" s="93">
        <f t="shared" ca="1" si="95"/>
        <v>35000</v>
      </c>
      <c r="O183" s="93">
        <f t="shared" ca="1" si="93"/>
        <v>48.275862068965516</v>
      </c>
      <c r="P183" s="93">
        <f t="shared" ca="1" si="94"/>
        <v>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62500</v>
      </c>
      <c r="N184" s="497">
        <f t="shared" ca="1" si="96"/>
        <v>35000</v>
      </c>
      <c r="O184" s="497">
        <f t="shared" ca="1" si="93"/>
        <v>48.275862068965516</v>
      </c>
      <c r="P184" s="497">
        <f t="shared" ca="1" si="94"/>
        <v>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IFERROR(__xludf.DUMMYFUNCTION("IMPORTRANGE(""https://docs.google.com/spreadsheets/d/1MeEWN-I1oV_STSDYn1IFDPWt_1FKiwhDph83XaGc0o0/edit?usp=sharing"",""งบพรบ!CT41"")"),62500)</f>
        <v>62500</v>
      </c>
      <c r="N186" s="93">
        <f ca="1">IFERROR(__xludf.DUMMYFUNCTION("IMPORTRANGE(""https://docs.google.com/spreadsheets/d/1MeEWN-I1oV_STSDYn1IFDPWt_1FKiwhDph83XaGc0o0/edit?usp=sharing"",""งบพรบ!CV41"")"),35000)</f>
        <v>35000</v>
      </c>
      <c r="O186" s="93">
        <f t="shared" ca="1" si="93"/>
        <v>48.275862068965516</v>
      </c>
      <c r="P186" s="93">
        <f t="shared" ca="1" si="94"/>
        <v>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4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4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15680</v>
      </c>
      <c r="O261" s="155">
        <f t="shared" ref="O261:O269" ca="1" si="117">IF(L261&gt;0,N261*100/L261,0)</f>
        <v>58.289962825278813</v>
      </c>
      <c r="P261" s="155">
        <f t="shared" ref="P261:P269" ca="1" si="118">IF(M261&gt;0,N261*100/M261,0)</f>
        <v>65.606694560669453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15680</v>
      </c>
      <c r="O263" s="93">
        <f t="shared" ca="1" si="117"/>
        <v>58.289962825278813</v>
      </c>
      <c r="P263" s="93">
        <f t="shared" ca="1" si="118"/>
        <v>65.606694560669453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15680</v>
      </c>
      <c r="O264" s="497">
        <f t="shared" ca="1" si="117"/>
        <v>58.289962825278813</v>
      </c>
      <c r="P264" s="497">
        <f t="shared" ca="1" si="118"/>
        <v>65.606694560669453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IFERROR(__xludf.DUMMYFUNCTION("IMPORTRANGE(""https://docs.google.com/spreadsheets/d/1MeEWN-I1oV_STSDYn1IFDPWt_1FKiwhDph83XaGc0o0/edit?usp=sharing"",""งบพรบ!DD41"")"),23900)</f>
        <v>23900</v>
      </c>
      <c r="N266" s="93">
        <f ca="1">IFERROR(__xludf.DUMMYFUNCTION("IMPORTRANGE(""https://docs.google.com/spreadsheets/d/1MeEWN-I1oV_STSDYn1IFDPWt_1FKiwhDph83XaGc0o0/edit?usp=sharing"",""งบพรบ!DF41"")"),15680)</f>
        <v>15680</v>
      </c>
      <c r="O266" s="93">
        <f t="shared" ca="1" si="117"/>
        <v>58.289962825278813</v>
      </c>
      <c r="P266" s="93">
        <f t="shared" ca="1" si="118"/>
        <v>65.606694560669453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50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5160</v>
      </c>
      <c r="O277" s="155">
        <f t="shared" ref="O277:O285" ca="1" si="126">IF(L277&gt;0,N277*100/L277,0)</f>
        <v>22.801590808661068</v>
      </c>
      <c r="P277" s="155">
        <f t="shared" ref="P277:P285" ca="1" si="127">IF(M277&gt;0,N277*100/M277,0)</f>
        <v>39.389312977099237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5160</v>
      </c>
      <c r="O279" s="93">
        <f t="shared" ca="1" si="126"/>
        <v>22.801590808661068</v>
      </c>
      <c r="P279" s="93">
        <f t="shared" ca="1" si="127"/>
        <v>39.389312977099237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5160</v>
      </c>
      <c r="O280" s="497">
        <f t="shared" ca="1" si="126"/>
        <v>22.801590808661068</v>
      </c>
      <c r="P280" s="497">
        <f t="shared" ca="1" si="127"/>
        <v>39.389312977099237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IFERROR(__xludf.DUMMYFUNCTION("IMPORTRANGE(""https://docs.google.com/spreadsheets/d/1MeEWN-I1oV_STSDYn1IFDPWt_1FKiwhDph83XaGc0o0/edit?usp=sharing"",""งบพรบ!DN41"")"),13100)</f>
        <v>13100</v>
      </c>
      <c r="N282" s="93">
        <f ca="1">IFERROR(__xludf.DUMMYFUNCTION("IMPORTRANGE(""https://docs.google.com/spreadsheets/d/1MeEWN-I1oV_STSDYn1IFDPWt_1FKiwhDph83XaGc0o0/edit?usp=sharing"",""งบพรบ!DP41"")"),5160)</f>
        <v>5160</v>
      </c>
      <c r="O282" s="93">
        <f t="shared" ca="1" si="126"/>
        <v>22.801590808661068</v>
      </c>
      <c r="P282" s="93">
        <f t="shared" ca="1" si="127"/>
        <v>39.389312977099237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IFERROR(__xludf.DUMMYFUNCTION("IMPORTRANGE(""https://docs.google.com/spreadsheets/d/1QqKyyYR6Q21VydFLVH3TRQUabQu_ym0Zz7PgGX0-kHA/edit?usp=sharing"",""แผน!EB41"")"),5)</f>
        <v>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2000</v>
      </c>
      <c r="O298" s="155">
        <f t="shared" ref="O298:O306" ca="1" si="136">IF(L298&gt;0,N298*100/L298,0)</f>
        <v>2.4271844660194173</v>
      </c>
      <c r="P298" s="155">
        <f t="shared" ref="P298:P306" ca="1" si="137">IF(M298&gt;0,N298*100/M298,0)</f>
        <v>4.0716612377850163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2000</v>
      </c>
      <c r="O300" s="93">
        <f t="shared" ca="1" si="136"/>
        <v>2.4271844660194173</v>
      </c>
      <c r="P300" s="93">
        <f t="shared" ca="1" si="137"/>
        <v>4.0716612377850163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2000</v>
      </c>
      <c r="O301" s="497">
        <f t="shared" ca="1" si="136"/>
        <v>2.4271844660194173</v>
      </c>
      <c r="P301" s="497">
        <f t="shared" ca="1" si="137"/>
        <v>4.0716612377850163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IFERROR(__xludf.DUMMYFUNCTION("IMPORTRANGE(""https://docs.google.com/spreadsheets/d/1MeEWN-I1oV_STSDYn1IFDPWt_1FKiwhDph83XaGc0o0/edit?usp=sharing"",""งบพรบ!DX41"")"),49120)</f>
        <v>49120</v>
      </c>
      <c r="N303" s="93">
        <f ca="1">IFERROR(__xludf.DUMMYFUNCTION("IMPORTRANGE(""https://docs.google.com/spreadsheets/d/1MeEWN-I1oV_STSDYn1IFDPWt_1FKiwhDph83XaGc0o0/edit?usp=sharing"",""งบพรบ!DZ41"")"),2000)</f>
        <v>2000</v>
      </c>
      <c r="O303" s="93">
        <f t="shared" ca="1" si="136"/>
        <v>2.4271844660194173</v>
      </c>
      <c r="P303" s="93">
        <f t="shared" ca="1" si="137"/>
        <v>4.0716612377850163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2035</v>
      </c>
      <c r="K327" s="445">
        <f ca="1">IF(I327&gt;0,J327*100/I327,0)</f>
        <v>63.59375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89500</v>
      </c>
      <c r="N328" s="155">
        <f t="shared" ca="1" si="149"/>
        <v>80580</v>
      </c>
      <c r="O328" s="155">
        <f t="shared" ref="O328:O336" ca="1" si="150">IF(L328&gt;0,N328*100/L328,0)</f>
        <v>45.016759776536311</v>
      </c>
      <c r="P328" s="155">
        <f t="shared" ref="P328:P336" ca="1" si="151">IF(M328&gt;0,N328*100/M328,0)</f>
        <v>90.033519553072622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179000</v>
      </c>
      <c r="M330" s="93">
        <f t="shared" ca="1" si="152"/>
        <v>89500</v>
      </c>
      <c r="N330" s="93">
        <f t="shared" ca="1" si="152"/>
        <v>80580</v>
      </c>
      <c r="O330" s="93">
        <f t="shared" ca="1" si="150"/>
        <v>45.016759776536311</v>
      </c>
      <c r="P330" s="93">
        <f t="shared" ca="1" si="151"/>
        <v>90.033519553072622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89500</v>
      </c>
      <c r="N331" s="497">
        <f t="shared" ca="1" si="153"/>
        <v>80580</v>
      </c>
      <c r="O331" s="497">
        <f t="shared" ca="1" si="150"/>
        <v>45.016759776536311</v>
      </c>
      <c r="P331" s="497">
        <f t="shared" ca="1" si="151"/>
        <v>90.033519553072622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IFERROR(__xludf.DUMMYFUNCTION("IMPORTRANGE(""https://docs.google.com/spreadsheets/d/1MeEWN-I1oV_STSDYn1IFDPWt_1FKiwhDph83XaGc0o0/edit?usp=sharing"",""งบพรบ!ER41"")"),89500)</f>
        <v>89500</v>
      </c>
      <c r="N333" s="93">
        <f ca="1">IFERROR(__xludf.DUMMYFUNCTION("IMPORTRANGE(""https://docs.google.com/spreadsheets/d/1MeEWN-I1oV_STSDYn1IFDPWt_1FKiwhDph83XaGc0o0/edit?usp=sharing"",""งบพรบ!ET41"")"),80580)</f>
        <v>80580</v>
      </c>
      <c r="O333" s="93">
        <f t="shared" ca="1" si="150"/>
        <v>45.016759776536311</v>
      </c>
      <c r="P333" s="93">
        <f t="shared" ca="1" si="151"/>
        <v>90.033519553072622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IFERROR(__xludf.DUMMYFUNCTION("IMPORTRANGE(""https://docs.google.com/spreadsheets/d/1MeEWN-I1oV_STSDYn1IFDPWt_1FKiwhDph83XaGc0o0/edit?usp=sharing"",""งบพรบ!ES41"")"),0)</f>
        <v>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IFERROR(__xludf.DUMMYFUNCTION("IMPORTRANGE(""https://docs.google.com/spreadsheets/d/1kVcqe37tkHyjCSG3S0O1AXqVkqjo8mSIZil3BcpIysc/edit?usp=sharing"",""ศูนย์!D41"")"),1705)</f>
        <v>1705</v>
      </c>
      <c r="K338" s="497">
        <f ca="1">IF(I338&gt;0,J338*100/I338,0)</f>
        <v>53.28125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IFERROR(__xludf.DUMMYFUNCTION("IMPORTRANGE(""https://docs.google.com/spreadsheets/d/1kVcqe37tkHyjCSG3S0O1AXqVkqjo8mSIZil3BcpIysc/edit?usp=sharing"",""ศูนย์!E41"")"),10)</f>
        <v>10</v>
      </c>
      <c r="K340" s="497">
        <f ca="1">IF(I340&gt;0,J340*100/I340,0)</f>
        <v>125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IFERROR(__xludf.DUMMYFUNCTION("IMPORTRANGE(""https://docs.google.com/spreadsheets/d/1kVcqe37tkHyjCSG3S0O1AXqVkqjo8mSIZil3BcpIysc/edit?usp=sharing"",""ศูนย์!F41"")"),330)</f>
        <v>330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493610</v>
      </c>
      <c r="N345" s="155">
        <f t="shared" ca="1" si="155"/>
        <v>275605</v>
      </c>
      <c r="O345" s="155">
        <f t="shared" ref="O345:O353" ca="1" si="156">IF(L345&gt;0,N345*100/L345,0)</f>
        <v>34.808719703954431</v>
      </c>
      <c r="P345" s="155">
        <f t="shared" ref="P345:P353" ca="1" si="157">IF(M345&gt;0,N345*100/M345,0)</f>
        <v>55.834565750288689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791770</v>
      </c>
      <c r="M347" s="93">
        <f t="shared" ca="1" si="158"/>
        <v>493610</v>
      </c>
      <c r="N347" s="93">
        <f t="shared" ca="1" si="158"/>
        <v>275605</v>
      </c>
      <c r="O347" s="93">
        <f t="shared" ca="1" si="156"/>
        <v>34.808719703954431</v>
      </c>
      <c r="P347" s="93">
        <f t="shared" ca="1" si="157"/>
        <v>55.834565750288689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402010</v>
      </c>
      <c r="N348" s="497">
        <f t="shared" ca="1" si="159"/>
        <v>184005</v>
      </c>
      <c r="O348" s="497">
        <f t="shared" ca="1" si="156"/>
        <v>26.280046274476199</v>
      </c>
      <c r="P348" s="497">
        <f t="shared" ca="1" si="157"/>
        <v>45.771249471406186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IFERROR(__xludf.DUMMYFUNCTION("IMPORTRANGE(""https://docs.google.com/spreadsheets/d/1MeEWN-I1oV_STSDYn1IFDPWt_1FKiwhDph83XaGc0o0/edit?usp=sharing"",""งบพรบ!FB41"")"),402010)</f>
        <v>402010</v>
      </c>
      <c r="N350" s="93">
        <f ca="1">IFERROR(__xludf.DUMMYFUNCTION("IMPORTRANGE(""https://docs.google.com/spreadsheets/d/1MeEWN-I1oV_STSDYn1IFDPWt_1FKiwhDph83XaGc0o0/edit?usp=sharing"",""งบพรบ!FD41"")"),184005)</f>
        <v>184005</v>
      </c>
      <c r="O350" s="93">
        <f t="shared" ca="1" si="156"/>
        <v>26.280046274476199</v>
      </c>
      <c r="P350" s="93">
        <f t="shared" ca="1" si="157"/>
        <v>45.771249471406186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62</v>
      </c>
      <c r="K355" s="465">
        <f ca="1">IF(I355&gt;0,J355*100/I355,0)</f>
        <v>11.69811320754717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IFERROR(__xludf.DUMMYFUNCTION("IMPORTRANGE(""https://docs.google.com/spreadsheets/d/1XWAQStnk-4SwqDmLtmXYiTMKHgktTP8We1SCoS47DrQ/edit?usp=sharing"",""จัดที่ดิน!W41"")"),76)</f>
        <v>76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IFERROR(__xludf.DUMMYFUNCTION("IMPORTRANGE(""https://docs.google.com/spreadsheets/d/1XWAQStnk-4SwqDmLtmXYiTMKHgktTP8We1SCoS47DrQ/edit?usp=sharing"",""จัดที่ดิน!X41"")"),503.97)</f>
        <v>503.97</v>
      </c>
      <c r="K359" s="497">
        <f t="shared" ca="1" si="161"/>
        <v>10.722765957446809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IFERROR(__xludf.DUMMYFUNCTION("IMPORTRANGE(""https://docs.google.com/spreadsheets/d/1XWAQStnk-4SwqDmLtmXYiTMKHgktTP8We1SCoS47DrQ/edit?usp=sharing"",""จัดที่ดิน!Y41"")"),77)</f>
        <v>77</v>
      </c>
      <c r="K360" s="497">
        <f t="shared" ca="1" si="161"/>
        <v>14.528301886792454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IFERROR(__xludf.DUMMYFUNCTION("IMPORTRANGE(""https://docs.google.com/spreadsheets/d/1XWAQStnk-4SwqDmLtmXYiTMKHgktTP8We1SCoS47DrQ/edit?usp=sharing"",""จัดที่ดิน!Z41"")"),519.32)</f>
        <v>519.32000000000005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IFERROR(__xludf.DUMMYFUNCTION("IMPORTRANGE(""https://docs.google.com/spreadsheets/d/1XWAQStnk-4SwqDmLtmXYiTMKHgktTP8We1SCoS47DrQ/edit?usp=sharing"",""จัดที่ดิน!AA41"")"),62)</f>
        <v>62</v>
      </c>
      <c r="K362" s="497">
        <f t="shared" ca="1" si="161"/>
        <v>11.69811320754717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IFERROR(__xludf.DUMMYFUNCTION("IMPORTRANGE(""https://docs.google.com/spreadsheets/d/1XWAQStnk-4SwqDmLtmXYiTMKHgktTP8We1SCoS47DrQ/edit?usp=sharing"",""จัดที่ดิน!AB41"")"),445.02)</f>
        <v>445.02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179</v>
      </c>
      <c r="K364" s="479">
        <f t="shared" ca="1" si="161"/>
        <v>15.770925110132159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20</v>
      </c>
      <c r="K365" s="491">
        <f t="shared" ca="1" si="161"/>
        <v>14.285714285714286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IFERROR(__xludf.DUMMYFUNCTION("IMPORTRANGE(""https://docs.google.com/spreadsheets/d/1XWAQStnk-4SwqDmLtmXYiTMKHgktTP8We1SCoS47DrQ/edit?usp=sharing"",""จัดที่ดิน!E41"")"),34)</f>
        <v>34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IFERROR(__xludf.DUMMYFUNCTION("IMPORTRANGE(""https://docs.google.com/spreadsheets/d/1XWAQStnk-4SwqDmLtmXYiTMKHgktTP8We1SCoS47DrQ/edit?usp=sharing"",""จัดที่ดิน!F41"")"),193.66)</f>
        <v>193.66</v>
      </c>
      <c r="K369" s="497">
        <f t="shared" ca="1" si="163"/>
        <v>13.832857142857144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IFERROR(__xludf.DUMMYFUNCTION("IMPORTRANGE(""https://docs.google.com/spreadsheets/d/1XWAQStnk-4SwqDmLtmXYiTMKHgktTP8We1SCoS47DrQ/edit?usp=sharing"",""จัดที่ดิน!G41"")"),34)</f>
        <v>34</v>
      </c>
      <c r="K370" s="497">
        <f t="shared" ca="1" si="163"/>
        <v>24.285714285714285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IFERROR(__xludf.DUMMYFUNCTION("IMPORTRANGE(""https://docs.google.com/spreadsheets/d/1XWAQStnk-4SwqDmLtmXYiTMKHgktTP8We1SCoS47DrQ/edit?usp=sharing"",""จัดที่ดิน!H41"")"),193.66)</f>
        <v>193.66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IFERROR(__xludf.DUMMYFUNCTION("IMPORTRANGE(""https://docs.google.com/spreadsheets/d/1XWAQStnk-4SwqDmLtmXYiTMKHgktTP8We1SCoS47DrQ/edit?usp=sharing"",""จัดที่ดิน!I41"")"),20)</f>
        <v>20</v>
      </c>
      <c r="K372" s="497">
        <f t="shared" ca="1" si="163"/>
        <v>14.285714285714286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IFERROR(__xludf.DUMMYFUNCTION("IMPORTRANGE(""https://docs.google.com/spreadsheets/d/1XWAQStnk-4SwqDmLtmXYiTMKHgktTP8We1SCoS47DrQ/edit?usp=sharing"",""จัดที่ดิน!J41"")"),120.39)</f>
        <v>120.39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159</v>
      </c>
      <c r="K374" s="491">
        <f t="shared" ca="1" si="163"/>
        <v>15.979899497487438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IFERROR(__xludf.DUMMYFUNCTION("IMPORTRANGE(""https://docs.google.com/spreadsheets/d/1XWAQStnk-4SwqDmLtmXYiTMKHgktTP8We1SCoS47DrQ/edit?usp=sharing"",""จัดที่ดิน!AH41"")"),43)</f>
        <v>43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IFERROR(__xludf.DUMMYFUNCTION("IMPORTRANGE(""https://docs.google.com/spreadsheets/d/1XWAQStnk-4SwqDmLtmXYiTMKHgktTP8We1SCoS47DrQ/edit?usp=sharing"",""จัดที่ดิน!AI41"")"),317.02)</f>
        <v>317.02</v>
      </c>
      <c r="K378" s="497">
        <f t="shared" ca="1" si="164"/>
        <v>9.6066666666666674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IFERROR(__xludf.DUMMYFUNCTION("IMPORTRANGE(""https://docs.google.com/spreadsheets/d/1XWAQStnk-4SwqDmLtmXYiTMKHgktTP8We1SCoS47DrQ/edit?usp=sharing"",""จัดที่ดิน!AJ41"")"),161)</f>
        <v>161</v>
      </c>
      <c r="K379" s="497">
        <f t="shared" ca="1" si="164"/>
        <v>16.180904522613066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IFERROR(__xludf.DUMMYFUNCTION("IMPORTRANGE(""https://docs.google.com/spreadsheets/d/1XWAQStnk-4SwqDmLtmXYiTMKHgktTP8We1SCoS47DrQ/edit?usp=sharing"",""จัดที่ดิน!AK41"")"),1717.54)</f>
        <v>1717.54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IFERROR(__xludf.DUMMYFUNCTION("IMPORTRANGE(""https://docs.google.com/spreadsheets/d/1XWAQStnk-4SwqDmLtmXYiTMKHgktTP8We1SCoS47DrQ/edit?usp=sharing"",""จัดที่ดิน!AL41"")"),159)</f>
        <v>159</v>
      </c>
      <c r="K381" s="497">
        <f t="shared" ca="1" si="164"/>
        <v>15.979899497487438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IFERROR(__xludf.DUMMYFUNCTION("IMPORTRANGE(""https://docs.google.com/spreadsheets/d/1XWAQStnk-4SwqDmLtmXYiTMKHgktTP8We1SCoS47DrQ/edit?usp=sharing"",""จัดที่ดิน!AM41"")"),1709.8)</f>
        <v>1709.8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IFERROR(__xludf.DUMMYFUNCTION("IMPORTRANGE(""https://docs.google.com/spreadsheets/d/1QqKyyYR6Q21VydFLVH3TRQUabQu_ym0Zz7PgGX0-kHA/edit?usp=sharing"",""แผน!EW41"")"),50)</f>
        <v>50</v>
      </c>
      <c r="J385" s="500">
        <f ca="1">IFERROR(__xludf.DUMMYFUNCTION("IMPORTRANGE(""https://docs.google.com/spreadsheets/d/1XWAQStnk-4SwqDmLtmXYiTMKHgktTP8We1SCoS47DrQ/edit?usp=sharing"",""จัดที่ดิน!AP41"")"),0)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1932863</v>
      </c>
      <c r="M414" s="548">
        <f t="shared" si="181"/>
        <v>0</v>
      </c>
      <c r="N414" s="548">
        <f t="shared" si="181"/>
        <v>379894</v>
      </c>
      <c r="O414" s="548">
        <f ca="1">IF(L414&gt;0,N414*100/L414,0)</f>
        <v>19.654471113576079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22880</v>
      </c>
      <c r="O419" s="155">
        <f t="shared" ref="O419:O424" ca="1" si="185">IF(L419&gt;0,N419*100/L419,0)</f>
        <v>29.087210780574626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22880</v>
      </c>
      <c r="O421" s="93">
        <f t="shared" ca="1" si="185"/>
        <v>29.087210780574626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22880</v>
      </c>
      <c r="O422" s="497">
        <f t="shared" ca="1" si="185"/>
        <v>29.087210780574626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v>0</v>
      </c>
      <c r="N424" s="93">
        <f>N425+N426+N427+N428</f>
        <v>22880</v>
      </c>
      <c r="O424" s="93">
        <f t="shared" ca="1" si="185"/>
        <v>29.087210780574626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22880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IFERROR(__xludf.DUMMYFUNCTION("IMPORTRANGE(""https://docs.google.com/spreadsheets/d/1QqKyyYR6Q21VydFLVH3TRQUabQu_ym0Zz7PgGX0-kHA/edit?usp=sharing"",""แผน!FC41"")"),20)</f>
        <v>20</v>
      </c>
      <c r="J435" s="578"/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IFERROR(__xludf.DUMMYFUNCTION("IMPORTRANGE(""https://docs.google.com/spreadsheets/d/1QqKyyYR6Q21VydFLVH3TRQUabQu_ym0Zz7PgGX0-kHA/edit?usp=sharing"",""แผน!FD41"")"),0)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IFERROR(__xludf.DUMMYFUNCTION("IMPORTRANGE(""https://docs.google.com/spreadsheets/d/1QqKyyYR6Q21VydFLVH3TRQUabQu_ym0Zz7PgGX0-kHA/edit?usp=sharing"",""แผน!FF41"")"),20)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100</v>
      </c>
      <c r="J442" s="584">
        <f t="shared" si="195"/>
        <v>100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280</v>
      </c>
      <c r="J443" s="564">
        <f t="shared" si="196"/>
        <v>280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si="197"/>
        <v>0</v>
      </c>
      <c r="N444" s="195">
        <f t="shared" si="197"/>
        <v>103786</v>
      </c>
      <c r="O444" s="195">
        <f t="shared" ref="O444:O449" ca="1" si="198">IF(L444&gt;0,N444*100/L444,0)</f>
        <v>16.829798274631901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616680</v>
      </c>
      <c r="M446" s="93">
        <f t="shared" si="200"/>
        <v>0</v>
      </c>
      <c r="N446" s="93">
        <f t="shared" si="200"/>
        <v>103786</v>
      </c>
      <c r="O446" s="93">
        <f t="shared" ca="1" si="198"/>
        <v>16.829798274631901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si="201"/>
        <v>0</v>
      </c>
      <c r="N447" s="497">
        <f t="shared" si="201"/>
        <v>103786</v>
      </c>
      <c r="O447" s="497">
        <f t="shared" ca="1" si="198"/>
        <v>16.829798274631901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v>0</v>
      </c>
      <c r="N449" s="93">
        <f>N450+N451+N452+N453</f>
        <v>103786</v>
      </c>
      <c r="O449" s="93">
        <f t="shared" ca="1" si="198"/>
        <v>16.829798274631901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f>21600+18640+9120</f>
        <v>49360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f>13000+12566+13000</f>
        <v>38566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f>8380+6000+1480</f>
        <v>15860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IFERROR(__xludf.DUMMYFUNCTION("IMPORTRANGE(""https://docs.google.com/spreadsheets/d/1QqKyyYR6Q21VydFLVH3TRQUabQu_ym0Zz7PgGX0-kHA/edit?usp=sharing"",""แผน!FX41"")"),61)</f>
        <v>61</v>
      </c>
      <c r="J465" s="584">
        <f>J485+J489+J492</f>
        <v>61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IFERROR(__xludf.DUMMYFUNCTION("IMPORTRANGE(""https://docs.google.com/spreadsheets/d/1QqKyyYR6Q21VydFLVH3TRQUabQu_ym0Zz7PgGX0-kHA/edit?usp=sharing"",""แผน!FW41"")"),600)</f>
        <v>600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si="206"/>
        <v>0</v>
      </c>
      <c r="N467" s="195">
        <f t="shared" si="206"/>
        <v>54450</v>
      </c>
      <c r="O467" s="195">
        <f t="shared" ref="O467:O472" ca="1" si="207">IF(L467&gt;0,N467*100/L467,0)</f>
        <v>11.073757939243812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491703</v>
      </c>
      <c r="M469" s="93">
        <f t="shared" si="209"/>
        <v>0</v>
      </c>
      <c r="N469" s="93">
        <f t="shared" si="209"/>
        <v>54450</v>
      </c>
      <c r="O469" s="93">
        <f t="shared" ca="1" si="207"/>
        <v>11.073757939243812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si="210"/>
        <v>0</v>
      </c>
      <c r="N470" s="497">
        <f t="shared" si="210"/>
        <v>54450</v>
      </c>
      <c r="O470" s="497">
        <f t="shared" ca="1" si="207"/>
        <v>11.073757939243812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v>0</v>
      </c>
      <c r="N472" s="93">
        <f>N473+N474+N475+N476</f>
        <v>54450</v>
      </c>
      <c r="O472" s="93">
        <f t="shared" ca="1" si="207"/>
        <v>11.073757939243812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f>7400+29520</f>
        <v>36920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f>14180+3350</f>
        <v>17530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IFERROR(__xludf.DUMMYFUNCTION("IMPORTRANGE(""https://docs.google.com/spreadsheets/d/1QqKyyYR6Q21VydFLVH3TRQUabQu_ym0Zz7PgGX0-kHA/edit?usp=sharing"",""แผน!GU41"")"),0)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38042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si="236"/>
        <v>0</v>
      </c>
      <c r="N544" s="155">
        <f t="shared" si="236"/>
        <v>75540</v>
      </c>
      <c r="O544" s="155">
        <f t="shared" ref="O544:O549" ca="1" si="237">IF(L544&gt;0,N544*100/L544,0)</f>
        <v>23.148701447943001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326325</v>
      </c>
      <c r="M546" s="93">
        <f t="shared" si="240"/>
        <v>0</v>
      </c>
      <c r="N546" s="93">
        <f t="shared" si="240"/>
        <v>75540</v>
      </c>
      <c r="O546" s="93">
        <f t="shared" ca="1" si="237"/>
        <v>23.148701447943001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si="241"/>
        <v>0</v>
      </c>
      <c r="N547" s="497">
        <f t="shared" si="241"/>
        <v>75540</v>
      </c>
      <c r="O547" s="497">
        <f t="shared" ca="1" si="237"/>
        <v>23.148701447943001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v>0</v>
      </c>
      <c r="N549" s="93">
        <f>N550+N551+N552+N553+N554</f>
        <v>75540</v>
      </c>
      <c r="O549" s="93">
        <f t="shared" ca="1" si="237"/>
        <v>23.148701447943001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f>13000+13000+13000</f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f>14850+12000+1960+2320+5410</f>
        <v>36540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38042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38041.800000000003</v>
      </c>
      <c r="K560" s="411">
        <f t="shared" ca="1" si="246"/>
        <v>99.999474265285755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32395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3189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4637.8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1009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391.38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IFERROR(__xludf.DUMMYFUNCTION("IMPORTRANGE(""https://docs.google.com/spreadsheets/d/1QqKyyYR6Q21VydFLVH3TRQUabQu_ym0Zz7PgGX0-kHA/edit?usp=sharing"",""แผน!HL41"")"),0)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IFERROR(__xludf.DUMMYFUNCTION("IMPORTRANGE(""https://docs.google.com/spreadsheets/d/1QqKyyYR6Q21VydFLVH3TRQUabQu_ym0Zz7PgGX0-kHA/edit?usp=sharing"",""แผน!HK41"")"),0)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205</v>
      </c>
      <c r="J628" s="735">
        <f t="shared" ca="1" si="262"/>
        <v>51</v>
      </c>
      <c r="K628" s="736">
        <f ca="1">IF(I628&gt;0,J628*100/I628,0)</f>
        <v>24.878048780487806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si="263"/>
        <v>0</v>
      </c>
      <c r="N629" s="195">
        <f t="shared" si="263"/>
        <v>123238</v>
      </c>
      <c r="O629" s="195">
        <f t="shared" ref="O629:O634" ca="1" si="264">IF(L629&gt;0,N629*100/L629,0)</f>
        <v>29.377704144268705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419495</v>
      </c>
      <c r="M631" s="93">
        <f t="shared" si="266"/>
        <v>0</v>
      </c>
      <c r="N631" s="93">
        <f t="shared" si="266"/>
        <v>123238</v>
      </c>
      <c r="O631" s="93">
        <f t="shared" ca="1" si="264"/>
        <v>29.377704144268705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si="267"/>
        <v>0</v>
      </c>
      <c r="N632" s="497">
        <f t="shared" si="267"/>
        <v>123238</v>
      </c>
      <c r="O632" s="497">
        <f t="shared" ca="1" si="264"/>
        <v>29.377704144268705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v>0</v>
      </c>
      <c r="N634" s="93">
        <f>N635+N636+N637+N638</f>
        <v>123238</v>
      </c>
      <c r="O634" s="93">
        <f t="shared" ca="1" si="264"/>
        <v>29.377704144268705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f>13000+13000+13000</f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f>9400+18000+11160+14938+14540+16200</f>
        <v>84238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IFERROR(__xludf.DUMMYFUNCTION("IMPORTRANGE(""https://docs.google.com/spreadsheets/d/1XWAQStnk-4SwqDmLtmXYiTMKHgktTP8We1SCoS47DrQ/edit?usp=sharing"",""จัดที่ดิน!AS41"")"),49)</f>
        <v>49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IFERROR(__xludf.DUMMYFUNCTION("IMPORTRANGE(""https://docs.google.com/spreadsheets/d/1XWAQStnk-4SwqDmLtmXYiTMKHgktTP8We1SCoS47DrQ/edit?usp=sharing"",""จัดที่ดิน!AT41"")"),19.12)</f>
        <v>19.12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IFERROR(__xludf.DUMMYFUNCTION("IMPORTRANGE(""https://docs.google.com/spreadsheets/d/1XWAQStnk-4SwqDmLtmXYiTMKHgktTP8We1SCoS47DrQ/edit?usp=sharing"",""จัดที่ดิน!AU41"")"),49)</f>
        <v>49</v>
      </c>
      <c r="K647" s="163">
        <f t="shared" ca="1" si="271"/>
        <v>23.902439024390244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IFERROR(__xludf.DUMMYFUNCTION("IMPORTRANGE(""https://docs.google.com/spreadsheets/d/1XWAQStnk-4SwqDmLtmXYiTMKHgktTP8We1SCoS47DrQ/edit?usp=sharing"",""จัดที่ดิน!AV41"")"),19.12)</f>
        <v>19.12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IFERROR(__xludf.DUMMYFUNCTION("IMPORTRANGE(""https://docs.google.com/spreadsheets/d/1XWAQStnk-4SwqDmLtmXYiTMKHgktTP8We1SCoS47DrQ/edit?usp=sharing"",""จัดที่ดิน!AW41"")"),53)</f>
        <v>53</v>
      </c>
      <c r="K649" s="163">
        <f t="shared" ca="1" si="271"/>
        <v>25.853658536585368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IFERROR(__xludf.DUMMYFUNCTION("IMPORTRANGE(""https://docs.google.com/spreadsheets/d/1XWAQStnk-4SwqDmLtmXYiTMKHgktTP8We1SCoS47DrQ/edit?usp=sharing"",""จัดที่ดิน!AX41"")"),20.6)</f>
        <v>20.6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IFERROR(__xludf.DUMMYFUNCTION("IMPORTRANGE(""https://docs.google.com/spreadsheets/d/1XWAQStnk-4SwqDmLtmXYiTMKHgktTP8We1SCoS47DrQ/edit?usp=sharing"",""จัดที่ดิน!AY41"")"),51)</f>
        <v>51</v>
      </c>
      <c r="K651" s="163">
        <f t="shared" ca="1" si="271"/>
        <v>24.878048780487806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IFERROR(__xludf.DUMMYFUNCTION("IMPORTRANGE(""https://docs.google.com/spreadsheets/d/1XWAQStnk-4SwqDmLtmXYiTMKHgktTP8We1SCoS47DrQ/edit?usp=sharing"",""จัดที่ดิน!AZ41"")"),20)</f>
        <v>20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IFERROR(__xludf.DUMMYFUNCTION("IMPORTRANGE(""https://docs.google.com/spreadsheets/d/1QqKyyYR6Q21VydFLVH3TRQUabQu_ym0Zz7PgGX0-kHA/edit?usp=sharing"",""แผน!IA41"")"),0)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IFERROR(__xludf.DUMMYFUNCTION("IMPORTRANGE(""https://docs.google.com/spreadsheets/d/1QqKyyYR6Q21VydFLVH3TRQUabQu_ym0Zz7PgGX0-kHA/edit?usp=sharing"",""แผน!IB41"")"),0)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IFERROR(__xludf.DUMMYFUNCTION("IMPORTRANGE(""https://docs.google.com/spreadsheets/d/1QqKyyYR6Q21VydFLVH3TRQUabQu_ym0Zz7PgGX0-kHA/edit?usp=sharing"",""แผน!IE41"")"),0)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IFERROR(__xludf.DUMMYFUNCTION("IMPORTRANGE(""https://docs.google.com/spreadsheets/d/1QqKyyYR6Q21VydFLVH3TRQUabQu_ym0Zz7PgGX0-kHA/edit?usp=sharing"",""แผน!IH41"")"),0)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IFERROR(__xludf.DUMMYFUNCTION("IMPORTRANGE(""https://docs.google.com/spreadsheets/d/1QqKyyYR6Q21VydFLVH3TRQUabQu_ym0Zz7PgGX0-kHA/edit?usp=sharing"",""แผน!IJ41"")"),0)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IFERROR(__xludf.DUMMYFUNCTION("IMPORTRANGE(""https://docs.google.com/spreadsheets/d/1QqKyyYR6Q21VydFLVH3TRQUabQu_ym0Zz7PgGX0-kHA/edit?usp=sharing"",""แผน!IK41"")"),0)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IFERROR(__xludf.DUMMYFUNCTION("IMPORTRANGE(""https://docs.google.com/spreadsheets/d/1QqKyyYR6Q21VydFLVH3TRQUabQu_ym0Zz7PgGX0-kHA/edit?usp=sharing"",""แผน!IP41"")"),0)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IFERROR(__xludf.DUMMYFUNCTION("IMPORTRANGE(""https://docs.google.com/spreadsheets/d/19vJNZY_5yjcGF2XGBMNZRCAIB0Kwfpjp8YEOfu-bneM/edit?usp=sharing"",""งานกองทุน!F41"")"),1214200.94)</f>
        <v>1214200.94</v>
      </c>
      <c r="K821" s="497">
        <f t="shared" ref="K821:K828" ca="1" si="335">IF(I821&gt;0,J821*100/I821,0)</f>
        <v>17.289501243570836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IFERROR(__xludf.DUMMYFUNCTION("IMPORTRANGE(""https://docs.google.com/spreadsheets/d/19vJNZY_5yjcGF2XGBMNZRCAIB0Kwfpjp8YEOfu-bneM/edit?usp=sharing"",""งานกองทุน!E41"")"),111)</f>
        <v>111</v>
      </c>
      <c r="K822" s="497">
        <f t="shared" ca="1" si="335"/>
        <v>17.076923076923077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IFERROR(__xludf.DUMMYFUNCTION("IMPORTRANGE(""https://docs.google.com/spreadsheets/d/19vJNZY_5yjcGF2XGBMNZRCAIB0Kwfpjp8YEOfu-bneM/edit?usp=sharing"",""งานกองทุน!K41"")"),385200.49)</f>
        <v>385200.49</v>
      </c>
      <c r="K823" s="497">
        <f t="shared" ca="1" si="335"/>
        <v>8.9681439453254974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IFERROR(__xludf.DUMMYFUNCTION("IMPORTRANGE(""https://docs.google.com/spreadsheets/d/19vJNZY_5yjcGF2XGBMNZRCAIB0Kwfpjp8YEOfu-bneM/edit?usp=sharing"",""งานกองทุน!J41"")"),64)</f>
        <v>64</v>
      </c>
      <c r="K824" s="497">
        <f t="shared" ca="1" si="335"/>
        <v>25.498007968127489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IFERROR(__xludf.DUMMYFUNCTION("IMPORTRANGE(""https://docs.google.com/spreadsheets/d/19vJNZY_5yjcGF2XGBMNZRCAIB0Kwfpjp8YEOfu-bneM/edit?usp=sharing"",""งานกองทุน!O41"")"),1)</f>
        <v>1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IFERROR(__xludf.DUMMYFUNCTION("IMPORTRANGE(""https://docs.google.com/spreadsheets/d/19vJNZY_5yjcGF2XGBMNZRCAIB0Kwfpjp8YEOfu-bneM/edit?usp=sharing"",""งานกองทุน!R41"")"),258)</f>
        <v>258</v>
      </c>
      <c r="J828" s="500">
        <f ca="1">IFERROR(__xludf.DUMMYFUNCTION("IMPORTRANGE(""https://docs.google.com/spreadsheets/d/19vJNZY_5yjcGF2XGBMNZRCAIB0Kwfpjp8YEOfu-bneM/edit?usp=sharing"",""งานกองทุน!T41"")"),0)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313CE-FCD1-4CBD-BA36-51335482921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347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3759363</v>
      </c>
      <c r="N8" s="22">
        <f t="shared" ca="1" si="0"/>
        <v>3386835.75</v>
      </c>
      <c r="O8" s="22">
        <f t="shared" ref="O8:O16" ca="1" si="1">IF(L8&gt;0,N8*100/L8,0)</f>
        <v>44.785913743727257</v>
      </c>
      <c r="P8" s="22">
        <f t="shared" ref="P8:P16" ca="1" si="2">IF(M8&gt;0,N8*100/M8,0)</f>
        <v>90.090681586215538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3759363</v>
      </c>
      <c r="N10" s="30">
        <f t="shared" ca="1" si="3"/>
        <v>3386835.75</v>
      </c>
      <c r="O10" s="30">
        <f t="shared" ca="1" si="1"/>
        <v>44.785913743727257</v>
      </c>
      <c r="P10" s="30">
        <f t="shared" ca="1" si="2"/>
        <v>90.090681586215538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7237579</v>
      </c>
      <c r="M11" s="497">
        <f t="shared" ca="1" si="4"/>
        <v>3434663</v>
      </c>
      <c r="N11" s="497">
        <f t="shared" ca="1" si="4"/>
        <v>3062135.75</v>
      </c>
      <c r="O11" s="497">
        <f t="shared" ca="1" si="1"/>
        <v>42.308840428546617</v>
      </c>
      <c r="P11" s="497">
        <f t="shared" ca="1" si="2"/>
        <v>89.15389224503248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7237579</v>
      </c>
      <c r="M13" s="93">
        <f t="shared" ca="1" si="5"/>
        <v>3434663</v>
      </c>
      <c r="N13" s="93">
        <f t="shared" ca="1" si="5"/>
        <v>3062135.75</v>
      </c>
      <c r="O13" s="93">
        <f t="shared" ca="1" si="1"/>
        <v>42.308840428546617</v>
      </c>
      <c r="P13" s="93">
        <f t="shared" ca="1" si="2"/>
        <v>89.15389224503248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3759363</v>
      </c>
      <c r="N18" s="22">
        <f t="shared" ca="1" si="8"/>
        <v>2263957.04</v>
      </c>
      <c r="O18" s="22">
        <f t="shared" ref="O18:O26" ca="1" si="9">IF(L18&gt;0,N18*100/L18,0)</f>
        <v>44.784434027953615</v>
      </c>
      <c r="P18" s="22">
        <f t="shared" ref="P18:P26" ca="1" si="10">IF(M18&gt;0,N18*100/M18,0)</f>
        <v>60.221825878479947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3759363</v>
      </c>
      <c r="N20" s="30">
        <f t="shared" ca="1" si="11"/>
        <v>2263957.04</v>
      </c>
      <c r="O20" s="30">
        <f t="shared" ca="1" si="9"/>
        <v>44.784434027953615</v>
      </c>
      <c r="P20" s="30">
        <f t="shared" ca="1" si="10"/>
        <v>60.221825878479947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3434663</v>
      </c>
      <c r="N21" s="497">
        <f t="shared" ca="1" si="12"/>
        <v>1939257.0400000003</v>
      </c>
      <c r="O21" s="497">
        <f t="shared" ca="1" si="9"/>
        <v>40.994480959012648</v>
      </c>
      <c r="P21" s="497">
        <f t="shared" ca="1" si="10"/>
        <v>56.461348318597786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4730532</v>
      </c>
      <c r="M23" s="93">
        <f t="shared" ca="1" si="13"/>
        <v>3434663</v>
      </c>
      <c r="N23" s="93">
        <f t="shared" ca="1" si="13"/>
        <v>1939257.0400000003</v>
      </c>
      <c r="O23" s="93">
        <f t="shared" ca="1" si="9"/>
        <v>40.994480959012648</v>
      </c>
      <c r="P23" s="93">
        <f t="shared" ca="1" si="10"/>
        <v>56.461348318597786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si="16"/>
        <v>0</v>
      </c>
      <c r="N28" s="22">
        <f t="shared" si="16"/>
        <v>1122878.71</v>
      </c>
      <c r="O28" s="22">
        <f t="shared" ref="O28:O37" ca="1" si="17">IF(L28&gt;0,N28*100/L28,0)</f>
        <v>44.788897455851448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si="19"/>
        <v>0</v>
      </c>
      <c r="N30" s="30">
        <f t="shared" si="19"/>
        <v>1122878.71</v>
      </c>
      <c r="O30" s="30">
        <f t="shared" ca="1" si="17"/>
        <v>44.788897455851448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2507047</v>
      </c>
      <c r="M31" s="497">
        <f t="shared" si="20"/>
        <v>0</v>
      </c>
      <c r="N31" s="497">
        <f t="shared" si="20"/>
        <v>1122878.71</v>
      </c>
      <c r="O31" s="497">
        <f t="shared" ca="1" si="17"/>
        <v>44.788897455851448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2507047</v>
      </c>
      <c r="M33" s="93">
        <f t="shared" si="21"/>
        <v>0</v>
      </c>
      <c r="N33" s="93">
        <f t="shared" si="21"/>
        <v>1122878.71</v>
      </c>
      <c r="O33" s="93">
        <f t="shared" ca="1" si="17"/>
        <v>44.788897455851448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5055232</v>
      </c>
      <c r="M37" s="843">
        <f t="shared" ca="1" si="24"/>
        <v>3759363</v>
      </c>
      <c r="N37" s="843">
        <f t="shared" ca="1" si="24"/>
        <v>2263957.04</v>
      </c>
      <c r="O37" s="843">
        <f t="shared" ca="1" si="17"/>
        <v>44.784434027953615</v>
      </c>
      <c r="P37" s="843">
        <f t="shared" ca="1" si="18"/>
        <v>60.221825878479947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941838</v>
      </c>
      <c r="N41" s="85">
        <f t="shared" ca="1" si="25"/>
        <v>333397</v>
      </c>
      <c r="O41" s="85">
        <f t="shared" ref="O41:O49" ca="1" si="26">IF(L41&gt;0,N41*100/L41,0)</f>
        <v>35.830184461553671</v>
      </c>
      <c r="P41" s="85">
        <f t="shared" ref="P41:P49" ca="1" si="27">IF(M41&gt;0,N41*100/M41,0)</f>
        <v>35.398550493821652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941838</v>
      </c>
      <c r="N43" s="92">
        <f t="shared" ca="1" si="28"/>
        <v>333397</v>
      </c>
      <c r="O43" s="92">
        <f t="shared" ca="1" si="26"/>
        <v>35.830184461553671</v>
      </c>
      <c r="P43" s="92">
        <f t="shared" ca="1" si="27"/>
        <v>35.398550493821652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941838</v>
      </c>
      <c r="N44" s="497">
        <f t="shared" ca="1" si="29"/>
        <v>333397</v>
      </c>
      <c r="O44" s="497">
        <f t="shared" ca="1" si="26"/>
        <v>35.830184461553671</v>
      </c>
      <c r="P44" s="497">
        <f t="shared" ca="1" si="27"/>
        <v>35.398550493821652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IFERROR(__xludf.DUMMYFUNCTION("IMPORTRANGE(""https://docs.google.com/spreadsheets/d/1MeEWN-I1oV_STSDYn1IFDPWt_1FKiwhDph83XaGc0o0/edit?usp=sharing"",""งบพรบ!R42"")"),941838)</f>
        <v>941838</v>
      </c>
      <c r="N46" s="93">
        <f ca="1">IFERROR(__xludf.DUMMYFUNCTION("IMPORTRANGE(""https://docs.google.com/spreadsheets/d/1MeEWN-I1oV_STSDYn1IFDPWt_1FKiwhDph83XaGc0o0/edit?usp=sharing"",""งบพรบ!T42"")"),333397)</f>
        <v>333397</v>
      </c>
      <c r="O46" s="93">
        <f t="shared" ca="1" si="26"/>
        <v>35.830184461553671</v>
      </c>
      <c r="P46" s="93">
        <f t="shared" ca="1" si="27"/>
        <v>35.398550493821652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842495</v>
      </c>
      <c r="N53" s="116">
        <f t="shared" ca="1" si="31"/>
        <v>512300.81</v>
      </c>
      <c r="O53" s="116">
        <f t="shared" ref="O53:O61" ca="1" si="32">IF(L53&gt;0,N53*100/L53,0)</f>
        <v>50.617607943879065</v>
      </c>
      <c r="P53" s="116">
        <f t="shared" ref="P53:P61" ca="1" si="33">IF(M53&gt;0,N53*100/M53,0)</f>
        <v>60.807578679992169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842495</v>
      </c>
      <c r="N55" s="123">
        <f t="shared" ca="1" si="34"/>
        <v>512300.81</v>
      </c>
      <c r="O55" s="123">
        <f t="shared" ca="1" si="32"/>
        <v>50.617607943879065</v>
      </c>
      <c r="P55" s="123">
        <f t="shared" ca="1" si="33"/>
        <v>60.807578679992169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735295</v>
      </c>
      <c r="N56" s="497">
        <f t="shared" ca="1" si="35"/>
        <v>405100.81</v>
      </c>
      <c r="O56" s="497">
        <f t="shared" ca="1" si="32"/>
        <v>44.767467123439054</v>
      </c>
      <c r="P56" s="497">
        <f t="shared" ca="1" si="33"/>
        <v>55.093644047627144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IFERROR(__xludf.DUMMYFUNCTION("IMPORTRANGE(""https://docs.google.com/spreadsheets/d/1MeEWN-I1oV_STSDYn1IFDPWt_1FKiwhDph83XaGc0o0/edit?usp=sharing"",""งบพรบ!AB42"")"),735295)</f>
        <v>735295</v>
      </c>
      <c r="N58" s="93">
        <f ca="1">IFERROR(__xludf.DUMMYFUNCTION("IMPORTRANGE(""https://docs.google.com/spreadsheets/d/1MeEWN-I1oV_STSDYn1IFDPWt_1FKiwhDph83XaGc0o0/edit?usp=sharing"",""งบพรบ!AD42"")"),405100.81)</f>
        <v>405100.81</v>
      </c>
      <c r="O58" s="93">
        <f t="shared" ca="1" si="32"/>
        <v>44.767467123439054</v>
      </c>
      <c r="P58" s="93">
        <f t="shared" ca="1" si="33"/>
        <v>55.093644047627144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592000</v>
      </c>
      <c r="N66" s="155">
        <f t="shared" ca="1" si="39"/>
        <v>447315.35</v>
      </c>
      <c r="O66" s="155">
        <f t="shared" ref="O66:O74" ca="1" si="40">IF(L66&gt;0,N66*100/L66,0)</f>
        <v>46.88840146750524</v>
      </c>
      <c r="P66" s="155">
        <f t="shared" ref="P66:P74" ca="1" si="41">IF(M66&gt;0,N66*100/M66,0)</f>
        <v>75.560025337837843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954000</v>
      </c>
      <c r="M68" s="93">
        <f t="shared" ca="1" si="42"/>
        <v>592000</v>
      </c>
      <c r="N68" s="93">
        <f t="shared" ca="1" si="42"/>
        <v>447315.35</v>
      </c>
      <c r="O68" s="93">
        <f t="shared" ca="1" si="40"/>
        <v>46.88840146750524</v>
      </c>
      <c r="P68" s="93">
        <f t="shared" ca="1" si="41"/>
        <v>75.560025337837843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592000</v>
      </c>
      <c r="N69" s="497">
        <f t="shared" ca="1" si="43"/>
        <v>447315.35</v>
      </c>
      <c r="O69" s="497">
        <f t="shared" ca="1" si="40"/>
        <v>46.88840146750524</v>
      </c>
      <c r="P69" s="497">
        <f t="shared" ca="1" si="41"/>
        <v>75.560025337837843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IFERROR(__xludf.DUMMYFUNCTION("IMPORTRANGE(""https://docs.google.com/spreadsheets/d/1MeEWN-I1oV_STSDYn1IFDPWt_1FKiwhDph83XaGc0o0/edit?usp=sharing"",""งบพรบ!AL42"")"),592000)</f>
        <v>592000</v>
      </c>
      <c r="N71" s="93">
        <f ca="1">IFERROR(__xludf.DUMMYFUNCTION("IMPORTRANGE(""https://docs.google.com/spreadsheets/d/1MeEWN-I1oV_STSDYn1IFDPWt_1FKiwhDph83XaGc0o0/edit?usp=sharing"",""งบพรบ!AN42"")"),447315.35)</f>
        <v>447315.35</v>
      </c>
      <c r="O71" s="93">
        <f t="shared" ca="1" si="40"/>
        <v>46.88840146750524</v>
      </c>
      <c r="P71" s="93">
        <f t="shared" ca="1" si="41"/>
        <v>75.560025337837843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163310</v>
      </c>
      <c r="N88" s="155">
        <f t="shared" ca="1" si="49"/>
        <v>74452.600000000006</v>
      </c>
      <c r="O88" s="155">
        <f t="shared" ref="O88:O96" ca="1" si="50">IF(L88&gt;0,N88*100/L88,0)</f>
        <v>27.609804939553516</v>
      </c>
      <c r="P88" s="155">
        <f t="shared" ref="P88:P96" ca="1" si="51">IF(M88&gt;0,N88*100/M88,0)</f>
        <v>45.589737309411554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269660</v>
      </c>
      <c r="M90" s="93">
        <f t="shared" ca="1" si="52"/>
        <v>163310</v>
      </c>
      <c r="N90" s="93">
        <f t="shared" ca="1" si="52"/>
        <v>74452.600000000006</v>
      </c>
      <c r="O90" s="93">
        <f t="shared" ca="1" si="50"/>
        <v>27.609804939553516</v>
      </c>
      <c r="P90" s="93">
        <f t="shared" ca="1" si="51"/>
        <v>45.589737309411554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163310</v>
      </c>
      <c r="N91" s="497">
        <f t="shared" ca="1" si="53"/>
        <v>74452.600000000006</v>
      </c>
      <c r="O91" s="497">
        <f t="shared" ca="1" si="50"/>
        <v>27.609804939553516</v>
      </c>
      <c r="P91" s="497">
        <f t="shared" ca="1" si="51"/>
        <v>45.589737309411554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IFERROR(__xludf.DUMMYFUNCTION("IMPORTRANGE(""https://docs.google.com/spreadsheets/d/1MeEWN-I1oV_STSDYn1IFDPWt_1FKiwhDph83XaGc0o0/edit?usp=sharing"",""งบพรบ!AV42"")"),163310)</f>
        <v>163310</v>
      </c>
      <c r="N93" s="93">
        <f ca="1">IFERROR(__xludf.DUMMYFUNCTION("IMPORTRANGE(""https://docs.google.com/spreadsheets/d/1MeEWN-I1oV_STSDYn1IFDPWt_1FKiwhDph83XaGc0o0/edit?usp=sharing"",""งบพรบ!AX42"")"),74452.6)</f>
        <v>74452.600000000006</v>
      </c>
      <c r="O93" s="93">
        <f t="shared" ca="1" si="50"/>
        <v>27.609804939553516</v>
      </c>
      <c r="P93" s="93">
        <f t="shared" ca="1" si="51"/>
        <v>45.589737309411554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12520</v>
      </c>
      <c r="N149" s="155">
        <f t="shared" ca="1" si="77"/>
        <v>4800</v>
      </c>
      <c r="O149" s="155">
        <f t="shared" ref="O149:O157" ca="1" si="78">IF(L149&gt;0,N149*100/L149,0)</f>
        <v>96</v>
      </c>
      <c r="P149" s="155">
        <f t="shared" ref="P149:P157" ca="1" si="79">IF(M149&gt;0,N149*100/M149,0)</f>
        <v>38.338658146964853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5000</v>
      </c>
      <c r="M151" s="93">
        <f t="shared" ca="1" si="80"/>
        <v>12520</v>
      </c>
      <c r="N151" s="93">
        <f t="shared" ca="1" si="80"/>
        <v>4800</v>
      </c>
      <c r="O151" s="93">
        <f t="shared" ca="1" si="78"/>
        <v>96</v>
      </c>
      <c r="P151" s="93">
        <f t="shared" ca="1" si="79"/>
        <v>38.338658146964853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12520</v>
      </c>
      <c r="N152" s="497">
        <f t="shared" ca="1" si="81"/>
        <v>4800</v>
      </c>
      <c r="O152" s="497">
        <f t="shared" ca="1" si="78"/>
        <v>96</v>
      </c>
      <c r="P152" s="497">
        <f t="shared" ca="1" si="79"/>
        <v>38.338658146964853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IFERROR(__xludf.DUMMYFUNCTION("IMPORTRANGE(""https://docs.google.com/spreadsheets/d/1MeEWN-I1oV_STSDYn1IFDPWt_1FKiwhDph83XaGc0o0/edit?usp=sharing"",""งบพรบ!BZ42"")"),12520)</f>
        <v>12520</v>
      </c>
      <c r="N154" s="93">
        <f ca="1">IFERROR(__xludf.DUMMYFUNCTION("IMPORTRANGE(""https://docs.google.com/spreadsheets/d/1MeEWN-I1oV_STSDYn1IFDPWt_1FKiwhDph83XaGc0o0/edit?usp=sharing"",""งบพรบ!CB42"")"),4800)</f>
        <v>4800</v>
      </c>
      <c r="O154" s="93">
        <f t="shared" ca="1" si="78"/>
        <v>96</v>
      </c>
      <c r="P154" s="93">
        <f t="shared" ca="1" si="79"/>
        <v>38.338658146964853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48500</v>
      </c>
      <c r="N181" s="155">
        <f t="shared" ca="1" si="92"/>
        <v>28650</v>
      </c>
      <c r="O181" s="155">
        <f t="shared" ref="O181:O189" ca="1" si="93">IF(L181&gt;0,N181*100/L181,0)</f>
        <v>42.38165680473373</v>
      </c>
      <c r="P181" s="155">
        <f t="shared" ref="P181:P189" ca="1" si="94">IF(M181&gt;0,N181*100/M181,0)</f>
        <v>59.072164948453612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67600</v>
      </c>
      <c r="M183" s="93">
        <f t="shared" ca="1" si="95"/>
        <v>48500</v>
      </c>
      <c r="N183" s="93">
        <f t="shared" ca="1" si="95"/>
        <v>28650</v>
      </c>
      <c r="O183" s="93">
        <f t="shared" ca="1" si="93"/>
        <v>42.38165680473373</v>
      </c>
      <c r="P183" s="93">
        <f t="shared" ca="1" si="94"/>
        <v>59.072164948453612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48500</v>
      </c>
      <c r="N184" s="497">
        <f t="shared" ca="1" si="96"/>
        <v>28650</v>
      </c>
      <c r="O184" s="497">
        <f t="shared" ca="1" si="93"/>
        <v>42.38165680473373</v>
      </c>
      <c r="P184" s="497">
        <f t="shared" ca="1" si="94"/>
        <v>59.072164948453612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IFERROR(__xludf.DUMMYFUNCTION("IMPORTRANGE(""https://docs.google.com/spreadsheets/d/1MeEWN-I1oV_STSDYn1IFDPWt_1FKiwhDph83XaGc0o0/edit?usp=sharing"",""งบพรบ!CT42"")"),48500)</f>
        <v>48500</v>
      </c>
      <c r="N186" s="93">
        <f ca="1">IFERROR(__xludf.DUMMYFUNCTION("IMPORTRANGE(""https://docs.google.com/spreadsheets/d/1MeEWN-I1oV_STSDYn1IFDPWt_1FKiwhDph83XaGc0o0/edit?usp=sharing"",""งบพรบ!CV42"")"),28650)</f>
        <v>28650</v>
      </c>
      <c r="O186" s="93">
        <f t="shared" ca="1" si="93"/>
        <v>42.38165680473373</v>
      </c>
      <c r="P186" s="93">
        <f t="shared" ca="1" si="94"/>
        <v>59.072164948453612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4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26875</v>
      </c>
      <c r="O261" s="155">
        <f t="shared" ref="O261:O269" ca="1" si="117">IF(L261&gt;0,N261*100/L261,0)</f>
        <v>87.54071661237785</v>
      </c>
      <c r="P261" s="155">
        <f t="shared" ref="P261:P269" ca="1" si="118">IF(M261&gt;0,N261*100/M261,0)</f>
        <v>97.021660649819495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26875</v>
      </c>
      <c r="O263" s="93">
        <f t="shared" ca="1" si="117"/>
        <v>87.54071661237785</v>
      </c>
      <c r="P263" s="93">
        <f t="shared" ca="1" si="118"/>
        <v>97.021660649819495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26875</v>
      </c>
      <c r="O264" s="497">
        <f t="shared" ca="1" si="117"/>
        <v>87.54071661237785</v>
      </c>
      <c r="P264" s="497">
        <f t="shared" ca="1" si="118"/>
        <v>97.021660649819495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IFERROR(__xludf.DUMMYFUNCTION("IMPORTRANGE(""https://docs.google.com/spreadsheets/d/1MeEWN-I1oV_STSDYn1IFDPWt_1FKiwhDph83XaGc0o0/edit?usp=sharing"",""งบพรบ!DD42"")"),27700)</f>
        <v>27700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7"/>
        <v>87.54071661237785</v>
      </c>
      <c r="P266" s="93">
        <f t="shared" ca="1" si="118"/>
        <v>97.021660649819495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70790</v>
      </c>
      <c r="N277" s="155">
        <f t="shared" ca="1" si="125"/>
        <v>70355</v>
      </c>
      <c r="O277" s="155">
        <f t="shared" ref="O277:O285" ca="1" si="126">IF(L277&gt;0,N277*100/L277,0)</f>
        <v>47.850778752635513</v>
      </c>
      <c r="P277" s="155">
        <f t="shared" ref="P277:P285" ca="1" si="127">IF(M277&gt;0,N277*100/M277,0)</f>
        <v>99.385506427461507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147030</v>
      </c>
      <c r="M279" s="93">
        <f t="shared" ca="1" si="128"/>
        <v>70790</v>
      </c>
      <c r="N279" s="93">
        <f t="shared" ca="1" si="128"/>
        <v>70355</v>
      </c>
      <c r="O279" s="93">
        <f t="shared" ca="1" si="126"/>
        <v>47.850778752635513</v>
      </c>
      <c r="P279" s="93">
        <f t="shared" ca="1" si="127"/>
        <v>99.385506427461507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70790</v>
      </c>
      <c r="N280" s="497">
        <f t="shared" ca="1" si="129"/>
        <v>70355</v>
      </c>
      <c r="O280" s="497">
        <f t="shared" ca="1" si="126"/>
        <v>47.850778752635513</v>
      </c>
      <c r="P280" s="497">
        <f t="shared" ca="1" si="127"/>
        <v>99.385506427461507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IFERROR(__xludf.DUMMYFUNCTION("IMPORTRANGE(""https://docs.google.com/spreadsheets/d/1MeEWN-I1oV_STSDYn1IFDPWt_1FKiwhDph83XaGc0o0/edit?usp=sharing"",""งบพรบ!DN42"")"),70790)</f>
        <v>70790</v>
      </c>
      <c r="N282" s="93">
        <f ca="1">IFERROR(__xludf.DUMMYFUNCTION("IMPORTRANGE(""https://docs.google.com/spreadsheets/d/1MeEWN-I1oV_STSDYn1IFDPWt_1FKiwhDph83XaGc0o0/edit?usp=sharing"",""งบพรบ!DP42"")"),70355)</f>
        <v>70355</v>
      </c>
      <c r="O282" s="93">
        <f t="shared" ca="1" si="126"/>
        <v>47.850778752635513</v>
      </c>
      <c r="P282" s="93">
        <f t="shared" ca="1" si="127"/>
        <v>99.385506427461507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IFERROR(__xludf.DUMMYFUNCTION("IMPORTRANGE(""https://docs.google.com/spreadsheets/d/1QqKyyYR6Q21VydFLVH3TRQUabQu_ym0Zz7PgGX0-kHA/edit?usp=sharing"",""แผน!EB42"")"),40)</f>
        <v>40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41840</v>
      </c>
      <c r="O298" s="155">
        <f t="shared" ref="O298:O306" ca="1" si="136">IF(L298&gt;0,N298*100/L298,0)</f>
        <v>50.776699029126213</v>
      </c>
      <c r="P298" s="155">
        <f t="shared" ref="P298:P306" ca="1" si="137">IF(M298&gt;0,N298*100/M298,0)</f>
        <v>85.179153094462535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41840</v>
      </c>
      <c r="O300" s="93">
        <f t="shared" ca="1" si="136"/>
        <v>50.776699029126213</v>
      </c>
      <c r="P300" s="93">
        <f t="shared" ca="1" si="137"/>
        <v>85.179153094462535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41840</v>
      </c>
      <c r="O301" s="497">
        <f t="shared" ca="1" si="136"/>
        <v>50.776699029126213</v>
      </c>
      <c r="P301" s="497">
        <f t="shared" ca="1" si="137"/>
        <v>85.179153094462535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IFERROR(__xludf.DUMMYFUNCTION("IMPORTRANGE(""https://docs.google.com/spreadsheets/d/1MeEWN-I1oV_STSDYn1IFDPWt_1FKiwhDph83XaGc0o0/edit?usp=sharing"",""งบพรบ!DX42"")"),49120)</f>
        <v>49120</v>
      </c>
      <c r="N303" s="93">
        <f ca="1">IFERROR(__xludf.DUMMYFUNCTION("IMPORTRANGE(""https://docs.google.com/spreadsheets/d/1MeEWN-I1oV_STSDYn1IFDPWt_1FKiwhDph83XaGc0o0/edit?usp=sharing"",""งบพรบ!DZ42"")"),41840)</f>
        <v>41840</v>
      </c>
      <c r="O303" s="93">
        <f t="shared" ca="1" si="136"/>
        <v>50.776699029126213</v>
      </c>
      <c r="P303" s="93">
        <f t="shared" ca="1" si="137"/>
        <v>85.179153094462535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3565</v>
      </c>
      <c r="K327" s="445">
        <f ca="1">IF(I327&gt;0,J327*100/I327,0)</f>
        <v>63.660714285714285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157700</v>
      </c>
      <c r="N328" s="155">
        <f t="shared" ca="1" si="149"/>
        <v>95200</v>
      </c>
      <c r="O328" s="155">
        <f t="shared" ref="O328:O336" ca="1" si="150">IF(L328&gt;0,N328*100/L328,0)</f>
        <v>35.051546391752581</v>
      </c>
      <c r="P328" s="155">
        <f t="shared" ref="P328:P336" ca="1" si="151">IF(M328&gt;0,N328*100/M328,0)</f>
        <v>60.367786937222576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271600</v>
      </c>
      <c r="M330" s="93">
        <f t="shared" ca="1" si="152"/>
        <v>157700</v>
      </c>
      <c r="N330" s="93">
        <f t="shared" ca="1" si="152"/>
        <v>95200</v>
      </c>
      <c r="O330" s="93">
        <f t="shared" ca="1" si="150"/>
        <v>35.051546391752581</v>
      </c>
      <c r="P330" s="93">
        <f t="shared" ca="1" si="151"/>
        <v>60.367786937222576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157700</v>
      </c>
      <c r="N331" s="497">
        <f t="shared" ca="1" si="153"/>
        <v>95200</v>
      </c>
      <c r="O331" s="497">
        <f t="shared" ca="1" si="150"/>
        <v>35.051546391752581</v>
      </c>
      <c r="P331" s="497">
        <f t="shared" ca="1" si="151"/>
        <v>60.367786937222576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IFERROR(__xludf.DUMMYFUNCTION("IMPORTRANGE(""https://docs.google.com/spreadsheets/d/1MeEWN-I1oV_STSDYn1IFDPWt_1FKiwhDph83XaGc0o0/edit?usp=sharing"",""งบพรบ!ER42"")"),157700)</f>
        <v>157700</v>
      </c>
      <c r="N333" s="93">
        <f ca="1">IFERROR(__xludf.DUMMYFUNCTION("IMPORTRANGE(""https://docs.google.com/spreadsheets/d/1MeEWN-I1oV_STSDYn1IFDPWt_1FKiwhDph83XaGc0o0/edit?usp=sharing"",""งบพรบ!ET42"")"),95200)</f>
        <v>95200</v>
      </c>
      <c r="O333" s="93">
        <f t="shared" ca="1" si="150"/>
        <v>35.051546391752581</v>
      </c>
      <c r="P333" s="93">
        <f t="shared" ca="1" si="151"/>
        <v>60.367786937222576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IFERROR(__xludf.DUMMYFUNCTION("IMPORTRANGE(""https://docs.google.com/spreadsheets/d/1kVcqe37tkHyjCSG3S0O1AXqVkqjo8mSIZil3BcpIysc/edit?usp=sharing"",""ศูนย์!D42"")"),3512)</f>
        <v>3512</v>
      </c>
      <c r="K338" s="497">
        <f ca="1">IF(I338&gt;0,J338*100/I338,0)</f>
        <v>62.714285714285715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IFERROR(__xludf.DUMMYFUNCTION("IMPORTRANGE(""https://docs.google.com/spreadsheets/d/1kVcqe37tkHyjCSG3S0O1AXqVkqjo8mSIZil3BcpIysc/edit?usp=sharing"",""ศูนย์!E42"")"),3)</f>
        <v>3</v>
      </c>
      <c r="K340" s="497">
        <f ca="1">IF(I340&gt;0,J340*100/I340,0)</f>
        <v>37.5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IFERROR(__xludf.DUMMYFUNCTION("IMPORTRANGE(""https://docs.google.com/spreadsheets/d/1kVcqe37tkHyjCSG3S0O1AXqVkqjo8mSIZil3BcpIysc/edit?usp=sharing"",""ศูนย์!F42"")"),53)</f>
        <v>53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830330</v>
      </c>
      <c r="N345" s="155">
        <f t="shared" ca="1" si="155"/>
        <v>605711.28</v>
      </c>
      <c r="O345" s="155">
        <f t="shared" ref="O345:O353" ca="1" si="156">IF(L345&gt;0,N345*100/L345,0)</f>
        <v>48.011737569257839</v>
      </c>
      <c r="P345" s="155">
        <f t="shared" ref="P345:P353" ca="1" si="157">IF(M345&gt;0,N345*100/M345,0)</f>
        <v>72.948259125889706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1261590</v>
      </c>
      <c r="M347" s="93">
        <f t="shared" ca="1" si="158"/>
        <v>830330</v>
      </c>
      <c r="N347" s="93">
        <f t="shared" ca="1" si="158"/>
        <v>605711.28</v>
      </c>
      <c r="O347" s="93">
        <f t="shared" ca="1" si="156"/>
        <v>48.011737569257839</v>
      </c>
      <c r="P347" s="93">
        <f t="shared" ca="1" si="157"/>
        <v>72.948259125889706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612830</v>
      </c>
      <c r="N348" s="497">
        <f t="shared" ca="1" si="159"/>
        <v>388211.28</v>
      </c>
      <c r="O348" s="497">
        <f t="shared" ca="1" si="156"/>
        <v>37.181783179610953</v>
      </c>
      <c r="P348" s="497">
        <f t="shared" ca="1" si="157"/>
        <v>63.347303493627926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IFERROR(__xludf.DUMMYFUNCTION("IMPORTRANGE(""https://docs.google.com/spreadsheets/d/1MeEWN-I1oV_STSDYn1IFDPWt_1FKiwhDph83XaGc0o0/edit?usp=sharing"",""งบพรบ!FB42"")"),612830)</f>
        <v>612830</v>
      </c>
      <c r="N350" s="93">
        <f ca="1">IFERROR(__xludf.DUMMYFUNCTION("IMPORTRANGE(""https://docs.google.com/spreadsheets/d/1MeEWN-I1oV_STSDYn1IFDPWt_1FKiwhDph83XaGc0o0/edit?usp=sharing"",""งบพรบ!FD42"")"),388211.28)</f>
        <v>388211.28</v>
      </c>
      <c r="O350" s="93">
        <f t="shared" ca="1" si="156"/>
        <v>37.181783179610953</v>
      </c>
      <c r="P350" s="93">
        <f t="shared" ca="1" si="157"/>
        <v>63.347303493627926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91</v>
      </c>
      <c r="K355" s="465">
        <f ca="1">IF(I355&gt;0,J355*100/I355,0)</f>
        <v>13.582089552238806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IFERROR(__xludf.DUMMYFUNCTION("IMPORTRANGE(""https://docs.google.com/spreadsheets/d/1XWAQStnk-4SwqDmLtmXYiTMKHgktTP8We1SCoS47DrQ/edit?usp=sharing"",""จัดที่ดิน!W42"")"),189)</f>
        <v>189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IFERROR(__xludf.DUMMYFUNCTION("IMPORTRANGE(""https://docs.google.com/spreadsheets/d/1XWAQStnk-4SwqDmLtmXYiTMKHgktTP8We1SCoS47DrQ/edit?usp=sharing"",""จัดที่ดิน!X42"")"),1362.42)</f>
        <v>1362.42</v>
      </c>
      <c r="K359" s="497">
        <f t="shared" ca="1" si="161"/>
        <v>20.334626865671641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IFERROR(__xludf.DUMMYFUNCTION("IMPORTRANGE(""https://docs.google.com/spreadsheets/d/1XWAQStnk-4SwqDmLtmXYiTMKHgktTP8We1SCoS47DrQ/edit?usp=sharing"",""จัดที่ดิน!Y42"")"),197)</f>
        <v>197</v>
      </c>
      <c r="K360" s="497">
        <f t="shared" ca="1" si="161"/>
        <v>29.402985074626866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IFERROR(__xludf.DUMMYFUNCTION("IMPORTRANGE(""https://docs.google.com/spreadsheets/d/1XWAQStnk-4SwqDmLtmXYiTMKHgktTP8We1SCoS47DrQ/edit?usp=sharing"",""จัดที่ดิน!Z42"")"),1428.15)</f>
        <v>1428.15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IFERROR(__xludf.DUMMYFUNCTION("IMPORTRANGE(""https://docs.google.com/spreadsheets/d/1XWAQStnk-4SwqDmLtmXYiTMKHgktTP8We1SCoS47DrQ/edit?usp=sharing"",""จัดที่ดิน!AA42"")"),91)</f>
        <v>91</v>
      </c>
      <c r="K362" s="497">
        <f t="shared" ca="1" si="161"/>
        <v>13.582089552238806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IFERROR(__xludf.DUMMYFUNCTION("IMPORTRANGE(""https://docs.google.com/spreadsheets/d/1XWAQStnk-4SwqDmLtmXYiTMKHgktTP8We1SCoS47DrQ/edit?usp=sharing"",""จัดที่ดิน!AB42"")"),661.03)</f>
        <v>661.03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380</v>
      </c>
      <c r="K364" s="479">
        <f t="shared" ca="1" si="161"/>
        <v>33.928571428571431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IFERROR(__xludf.DUMMYFUNCTION("IMPORTRANGE(""https://docs.google.com/spreadsheets/d/1XWAQStnk-4SwqDmLtmXYiTMKHgktTP8We1SCoS47DrQ/edit?usp=sharing"",""จัดที่ดิน!E42"")"),51)</f>
        <v>51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IFERROR(__xludf.DUMMYFUNCTION("IMPORTRANGE(""https://docs.google.com/spreadsheets/d/1XWAQStnk-4SwqDmLtmXYiTMKHgktTP8We1SCoS47DrQ/edit?usp=sharing"",""จัดที่ดิน!F42"")"),338.24)</f>
        <v>338.24</v>
      </c>
      <c r="K369" s="497">
        <f t="shared" ca="1" si="163"/>
        <v>28.186666666666667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IFERROR(__xludf.DUMMYFUNCTION("IMPORTRANGE(""https://docs.google.com/spreadsheets/d/1XWAQStnk-4SwqDmLtmXYiTMKHgktTP8We1SCoS47DrQ/edit?usp=sharing"",""จัดที่ดิน!G42"")"),59)</f>
        <v>59</v>
      </c>
      <c r="K370" s="497">
        <f t="shared" ca="1" si="163"/>
        <v>49.166666666666664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IFERROR(__xludf.DUMMYFUNCTION("IMPORTRANGE(""https://docs.google.com/spreadsheets/d/1XWAQStnk-4SwqDmLtmXYiTMKHgktTP8We1SCoS47DrQ/edit?usp=sharing"",""จัดที่ดิน!H42"")"),403.97)</f>
        <v>403.97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380</v>
      </c>
      <c r="K374" s="491">
        <f t="shared" ca="1" si="163"/>
        <v>38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IFERROR(__xludf.DUMMYFUNCTION("IMPORTRANGE(""https://docs.google.com/spreadsheets/d/1XWAQStnk-4SwqDmLtmXYiTMKHgktTP8We1SCoS47DrQ/edit?usp=sharing"",""จัดที่ดิน!AH42"")"),138)</f>
        <v>138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IFERROR(__xludf.DUMMYFUNCTION("IMPORTRANGE(""https://docs.google.com/spreadsheets/d/1XWAQStnk-4SwqDmLtmXYiTMKHgktTP8We1SCoS47DrQ/edit?usp=sharing"",""จัดที่ดิน!AI42"")"),1024.18)</f>
        <v>1024.18</v>
      </c>
      <c r="K378" s="497">
        <f t="shared" ca="1" si="164"/>
        <v>18.621454545454544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IFERROR(__xludf.DUMMYFUNCTION("IMPORTRANGE(""https://docs.google.com/spreadsheets/d/1XWAQStnk-4SwqDmLtmXYiTMKHgktTP8We1SCoS47DrQ/edit?usp=sharing"",""จัดที่ดิน!AJ42"")"),545)</f>
        <v>545</v>
      </c>
      <c r="K379" s="497">
        <f t="shared" ca="1" si="164"/>
        <v>54.5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IFERROR(__xludf.DUMMYFUNCTION("IMPORTRANGE(""https://docs.google.com/spreadsheets/d/1XWAQStnk-4SwqDmLtmXYiTMKHgktTP8We1SCoS47DrQ/edit?usp=sharing"",""จัดที่ดิน!AK42"")"),5482.71)</f>
        <v>5482.71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IFERROR(__xludf.DUMMYFUNCTION("IMPORTRANGE(""https://docs.google.com/spreadsheets/d/1XWAQStnk-4SwqDmLtmXYiTMKHgktTP8We1SCoS47DrQ/edit?usp=sharing"",""จัดที่ดิน!AL42"")"),380)</f>
        <v>380</v>
      </c>
      <c r="K381" s="497">
        <f t="shared" ca="1" si="164"/>
        <v>38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IFERROR(__xludf.DUMMYFUNCTION("IMPORTRANGE(""https://docs.google.com/spreadsheets/d/1XWAQStnk-4SwqDmLtmXYiTMKHgktTP8We1SCoS47DrQ/edit?usp=sharing"",""จัดที่ดิน!AM42"")"),3865.35)</f>
        <v>3865.35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IFERROR(__xludf.DUMMYFUNCTION("IMPORTRANGE(""https://docs.google.com/spreadsheets/d/1QqKyyYR6Q21VydFLVH3TRQUabQu_ym0Zz7PgGX0-kHA/edit?usp=sharing"",""แผน!EW42"")"),100)</f>
        <v>100</v>
      </c>
      <c r="J385" s="500">
        <f ca="1">IFERROR(__xludf.DUMMYFUNCTION("IMPORTRANGE(""https://docs.google.com/spreadsheets/d/1XWAQStnk-4SwqDmLtmXYiTMKHgktTP8We1SCoS47DrQ/edit?usp=sharing"",""จัดที่ดิน!AP42"")"),0)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2507047</v>
      </c>
      <c r="M414" s="548">
        <f t="shared" si="181"/>
        <v>0</v>
      </c>
      <c r="N414" s="548">
        <f t="shared" si="181"/>
        <v>1122878.71</v>
      </c>
      <c r="O414" s="548">
        <f ca="1">IF(L414&gt;0,N414*100/L414,0)</f>
        <v>44.788897455851448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20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59220</v>
      </c>
      <c r="O419" s="155">
        <f t="shared" ref="O419:O424" ca="1" si="185">IF(L419&gt;0,N419*100/L419,0)</f>
        <v>75.286041189931353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59220</v>
      </c>
      <c r="O421" s="93">
        <f t="shared" ca="1" si="185"/>
        <v>75.286041189931353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59220</v>
      </c>
      <c r="O422" s="497">
        <f t="shared" ca="1" si="185"/>
        <v>75.286041189931353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v>0</v>
      </c>
      <c r="N424" s="93">
        <f>N425+N426+N427+N428</f>
        <v>59220</v>
      </c>
      <c r="O424" s="93">
        <f t="shared" ca="1" si="185"/>
        <v>75.286041189931353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/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59220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IFERROR(__xludf.DUMMYFUNCTION("IMPORTRANGE(""https://docs.google.com/spreadsheets/d/1QqKyyYR6Q21VydFLVH3TRQUabQu_ym0Zz7PgGX0-kHA/edit?usp=sharing"",""แผน!FC42"")"),20)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IFERROR(__xludf.DUMMYFUNCTION("IMPORTRANGE(""https://docs.google.com/spreadsheets/d/1QqKyyYR6Q21VydFLVH3TRQUabQu_ym0Zz7PgGX0-kHA/edit?usp=sharing"",""แผน!FD42"")"),0)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IFERROR(__xludf.DUMMYFUNCTION("IMPORTRANGE(""https://docs.google.com/spreadsheets/d/1QqKyyYR6Q21VydFLVH3TRQUabQu_ym0Zz7PgGX0-kHA/edit?usp=sharing"",""แผน!FF42"")"),20)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100</v>
      </c>
      <c r="J442" s="584">
        <f t="shared" si="195"/>
        <v>100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400</v>
      </c>
      <c r="J443" s="564">
        <f t="shared" si="196"/>
        <v>400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si="197"/>
        <v>0</v>
      </c>
      <c r="N444" s="195">
        <f t="shared" si="197"/>
        <v>584280</v>
      </c>
      <c r="O444" s="195">
        <f t="shared" ref="O444:O449" ca="1" si="198">IF(L444&gt;0,N444*100/L444,0)</f>
        <v>84.889870401580751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688280</v>
      </c>
      <c r="M446" s="93">
        <f t="shared" si="200"/>
        <v>0</v>
      </c>
      <c r="N446" s="93">
        <f t="shared" si="200"/>
        <v>584280</v>
      </c>
      <c r="O446" s="93">
        <f t="shared" ca="1" si="198"/>
        <v>84.889870401580751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si="201"/>
        <v>0</v>
      </c>
      <c r="N447" s="497">
        <f t="shared" si="201"/>
        <v>584280</v>
      </c>
      <c r="O447" s="497">
        <f t="shared" ca="1" si="198"/>
        <v>84.889870401580751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v>0</v>
      </c>
      <c r="N449" s="93">
        <f>N450+N451+N452+N453</f>
        <v>584280</v>
      </c>
      <c r="O449" s="93">
        <f t="shared" ca="1" si="198"/>
        <v>84.889870401580751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136677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350000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58603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IFERROR(__xludf.DUMMYFUNCTION("IMPORTRANGE(""https://docs.google.com/spreadsheets/d/1QqKyyYR6Q21VydFLVH3TRQUabQu_ym0Zz7PgGX0-kHA/edit?usp=sharing"",""แผน!FX42"")"),61)</f>
        <v>61</v>
      </c>
      <c r="J465" s="584">
        <f>J485+J489+J492</f>
        <v>61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IFERROR(__xludf.DUMMYFUNCTION("IMPORTRANGE(""https://docs.google.com/spreadsheets/d/1QqKyyYR6Q21VydFLVH3TRQUabQu_ym0Zz7PgGX0-kHA/edit?usp=sharing"",""แผน!FW42"")"),600)</f>
        <v>600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si="206"/>
        <v>0</v>
      </c>
      <c r="N467" s="195">
        <f t="shared" si="206"/>
        <v>115423</v>
      </c>
      <c r="O467" s="195">
        <f t="shared" ref="O467:O472" ca="1" si="207">IF(L467&gt;0,N467*100/L467,0)</f>
        <v>23.487504654849285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491423</v>
      </c>
      <c r="M469" s="93">
        <f t="shared" si="209"/>
        <v>0</v>
      </c>
      <c r="N469" s="93">
        <f t="shared" si="209"/>
        <v>115423</v>
      </c>
      <c r="O469" s="93">
        <f t="shared" ca="1" si="207"/>
        <v>23.487504654849285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si="210"/>
        <v>0</v>
      </c>
      <c r="N470" s="497">
        <f t="shared" si="210"/>
        <v>115423</v>
      </c>
      <c r="O470" s="497">
        <f t="shared" ca="1" si="207"/>
        <v>23.487504654849285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v>0</v>
      </c>
      <c r="N472" s="93">
        <f>N473+N474+N475+N476</f>
        <v>115423</v>
      </c>
      <c r="O472" s="93">
        <f t="shared" ca="1" si="207"/>
        <v>23.487504654849285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60723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54700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IFERROR(__xludf.DUMMYFUNCTION("IMPORTRANGE(""https://docs.google.com/spreadsheets/d/1QqKyyYR6Q21VydFLVH3TRQUabQu_ym0Zz7PgGX0-kHA/edit?usp=sharing"",""แผน!GU42"")"),0)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63455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525419</v>
      </c>
      <c r="M544" s="155">
        <f t="shared" si="236"/>
        <v>0</v>
      </c>
      <c r="N544" s="155">
        <f t="shared" si="236"/>
        <v>166240.85</v>
      </c>
      <c r="O544" s="155">
        <f t="shared" ref="O544:O549" ca="1" si="237">IF(L544&gt;0,N544*100/L544,0)</f>
        <v>31.639672337696201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525419</v>
      </c>
      <c r="M546" s="93">
        <f t="shared" si="240"/>
        <v>0</v>
      </c>
      <c r="N546" s="93">
        <f t="shared" si="240"/>
        <v>166240.85</v>
      </c>
      <c r="O546" s="93">
        <f t="shared" ca="1" si="237"/>
        <v>31.639672337696201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525419</v>
      </c>
      <c r="M547" s="497">
        <f t="shared" si="241"/>
        <v>0</v>
      </c>
      <c r="N547" s="497">
        <f t="shared" si="241"/>
        <v>166240.85</v>
      </c>
      <c r="O547" s="497">
        <f t="shared" ca="1" si="237"/>
        <v>31.639672337696201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IFERROR(__xludf.DUMMYFUNCTION("IMPORTRANGE(""https://docs.google.com/spreadsheets/d/1QqKyyYR6Q21VydFLVH3TRQUabQu_ym0Zz7PgGX0-kHA/edit?usp=sharing"",""แผน!HB42"")"),525419)</f>
        <v>525419</v>
      </c>
      <c r="M549" s="93">
        <v>0</v>
      </c>
      <c r="N549" s="93">
        <f>N550+N551+N552+N553+N554</f>
        <v>166240.85</v>
      </c>
      <c r="O549" s="93">
        <f t="shared" ca="1" si="237"/>
        <v>31.639672337696201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30612.85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135628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63455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5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5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6025.25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IFERROR(__xludf.DUMMYFUNCTION("IMPORTRANGE(""https://docs.google.com/spreadsheets/d/1QqKyyYR6Q21VydFLVH3TRQUabQu_ym0Zz7PgGX0-kHA/edit?usp=sharing"",""แผน!HL42"")"),144)</f>
        <v>144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IFERROR(__xludf.DUMMYFUNCTION("IMPORTRANGE(""https://docs.google.com/spreadsheets/d/1QqKyyYR6Q21VydFLVH3TRQUabQu_ym0Zz7PgGX0-kHA/edit?usp=sharing"",""แผน!HK42"")"),9)</f>
        <v>9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210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si="263"/>
        <v>0</v>
      </c>
      <c r="N629" s="195">
        <f t="shared" si="263"/>
        <v>82230</v>
      </c>
      <c r="O629" s="195">
        <f t="shared" ref="O629:O634" ca="1" si="264">IF(L629&gt;0,N629*100/L629,0)</f>
        <v>18.598812553011026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442125</v>
      </c>
      <c r="M631" s="93">
        <f t="shared" si="266"/>
        <v>0</v>
      </c>
      <c r="N631" s="93">
        <f t="shared" si="266"/>
        <v>82230</v>
      </c>
      <c r="O631" s="93">
        <f t="shared" ca="1" si="264"/>
        <v>18.598812553011026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si="267"/>
        <v>0</v>
      </c>
      <c r="N632" s="497">
        <f t="shared" si="267"/>
        <v>82230</v>
      </c>
      <c r="O632" s="497">
        <f t="shared" ca="1" si="264"/>
        <v>18.598812553011026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v>0</v>
      </c>
      <c r="N634" s="93">
        <f>N635+N636+N637+N638</f>
        <v>82230</v>
      </c>
      <c r="O634" s="93">
        <f t="shared" ca="1" si="264"/>
        <v>18.598812553011026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43230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IFERROR(__xludf.DUMMYFUNCTION("IMPORTRANGE(""https://docs.google.com/spreadsheets/d/1XWAQStnk-4SwqDmLtmXYiTMKHgktTP8We1SCoS47DrQ/edit?usp=sharing"",""จัดที่ดิน!AS42"")"),55)</f>
        <v>55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IFERROR(__xludf.DUMMYFUNCTION("IMPORTRANGE(""https://docs.google.com/spreadsheets/d/1XWAQStnk-4SwqDmLtmXYiTMKHgktTP8We1SCoS47DrQ/edit?usp=sharing"",""จัดที่ดิน!AT42"")"),30.42)</f>
        <v>30.42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IFERROR(__xludf.DUMMYFUNCTION("IMPORTRANGE(""https://docs.google.com/spreadsheets/d/1XWAQStnk-4SwqDmLtmXYiTMKHgktTP8We1SCoS47DrQ/edit?usp=sharing"",""จัดที่ดิน!AZ42"")"),0)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si="273"/>
        <v>0</v>
      </c>
      <c r="N655" s="195">
        <f t="shared" si="273"/>
        <v>360</v>
      </c>
      <c r="O655" s="195">
        <f t="shared" ref="O655:O660" ca="1" si="274">IF(L655&gt;0,N655*100/L655,0)</f>
        <v>2.8571428571428572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12600</v>
      </c>
      <c r="M657" s="93">
        <f t="shared" si="276"/>
        <v>0</v>
      </c>
      <c r="N657" s="93">
        <f t="shared" si="276"/>
        <v>360</v>
      </c>
      <c r="O657" s="93">
        <f t="shared" ca="1" si="274"/>
        <v>2.8571428571428572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si="277"/>
        <v>0</v>
      </c>
      <c r="N658" s="497">
        <f t="shared" si="277"/>
        <v>360</v>
      </c>
      <c r="O658" s="497">
        <f t="shared" ca="1" si="274"/>
        <v>2.8571428571428572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v>0</v>
      </c>
      <c r="N660" s="93">
        <f>N661+N662+N663+N664</f>
        <v>360</v>
      </c>
      <c r="O660" s="93">
        <f t="shared" ca="1" si="274"/>
        <v>2.8571428571428572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360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IFERROR(__xludf.DUMMYFUNCTION("IMPORTRANGE(""https://docs.google.com/spreadsheets/d/1QqKyyYR6Q21VydFLVH3TRQUabQu_ym0Zz7PgGX0-kHA/edit?usp=sharing"",""แผน!IA42"")"),50)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IFERROR(__xludf.DUMMYFUNCTION("IMPORTRANGE(""https://docs.google.com/spreadsheets/d/1QqKyyYR6Q21VydFLVH3TRQUabQu_ym0Zz7PgGX0-kHA/edit?usp=sharing"",""แผน!IB42"")"),0)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1980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IFERROR(__xludf.DUMMYFUNCTION("IMPORTRANGE(""https://docs.google.com/spreadsheets/d/1QqKyyYR6Q21VydFLVH3TRQUabQu_ym0Zz7PgGX0-kHA/edit?usp=sharing"",""แผน!IE42"")"),14)</f>
        <v>14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IFERROR(__xludf.DUMMYFUNCTION("IMPORTRANGE(""https://docs.google.com/spreadsheets/d/1QqKyyYR6Q21VydFLVH3TRQUabQu_ym0Zz7PgGX0-kHA/edit?usp=sharing"",""แผน!IH42"")"),14)</f>
        <v>14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1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14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IFERROR(__xludf.DUMMYFUNCTION("IMPORTRANGE(""https://docs.google.com/spreadsheets/d/1QqKyyYR6Q21VydFLVH3TRQUabQu_ym0Zz7PgGX0-kHA/edit?usp=sharing"",""แผน!IJ42"")"),0)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IFERROR(__xludf.DUMMYFUNCTION("IMPORTRANGE(""https://docs.google.com/spreadsheets/d/1QqKyyYR6Q21VydFLVH3TRQUabQu_ym0Zz7PgGX0-kHA/edit?usp=sharing"",""แผน!IK42"")"),0)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IFERROR(__xludf.DUMMYFUNCTION("IMPORTRANGE(""https://docs.google.com/spreadsheets/d/1QqKyyYR6Q21VydFLVH3TRQUabQu_ym0Zz7PgGX0-kHA/edit?usp=sharing"",""แผน!IP42"")"),0)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19000</v>
      </c>
      <c r="J785" s="801">
        <f t="shared" ca="1" si="318"/>
        <v>7772</v>
      </c>
      <c r="K785" s="802">
        <f ca="1">IF(I785&gt;0,J785*100/I785,0)</f>
        <v>40.905263157894737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266560</v>
      </c>
      <c r="M786" s="195">
        <f t="shared" si="319"/>
        <v>0</v>
      </c>
      <c r="N786" s="195">
        <f t="shared" si="319"/>
        <v>115124.86</v>
      </c>
      <c r="O786" s="195">
        <f t="shared" ref="O786:O791" ca="1" si="320">IF(L786&gt;0,N786*100/L786,0)</f>
        <v>43.189098139255705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266560</v>
      </c>
      <c r="M788" s="93">
        <f t="shared" si="322"/>
        <v>0</v>
      </c>
      <c r="N788" s="93">
        <f t="shared" si="322"/>
        <v>115124.86</v>
      </c>
      <c r="O788" s="93">
        <f t="shared" ca="1" si="320"/>
        <v>43.189098139255705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266560</v>
      </c>
      <c r="M789" s="497">
        <f t="shared" si="323"/>
        <v>0</v>
      </c>
      <c r="N789" s="497">
        <f t="shared" si="323"/>
        <v>115124.86</v>
      </c>
      <c r="O789" s="497">
        <f t="shared" ca="1" si="320"/>
        <v>43.189098139255705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v>0</v>
      </c>
      <c r="N791" s="93">
        <f>N792+N793+N794+N795</f>
        <v>115124.86</v>
      </c>
      <c r="O791" s="93">
        <f t="shared" ca="1" si="320"/>
        <v>43.189098139255705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v>115124.86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IFERROR(__xludf.DUMMYFUNCTION("IMPORTRANGE(""https://docs.google.com/spreadsheets/d/1MaWodYyGHDf7siQLGxnXhG4mBNTNIuy296niS2xXulU/edit?usp=sharing"",""RTK!H42"")"),20)</f>
        <v>20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IFERROR(__xludf.DUMMYFUNCTION("IMPORTRANGE(""https://docs.google.com/spreadsheets/d/1MaWodYyGHDf7siQLGxnXhG4mBNTNIuy296niS2xXulU/edit?usp=sharing"",""RTK!G42"")"),4000)</f>
        <v>4000</v>
      </c>
      <c r="J801" s="816">
        <f ca="1">IFERROR(__xludf.DUMMYFUNCTION("IMPORTRANGE(""https://docs.google.com/spreadsheets/d/1MaWodYyGHDf7siQLGxnXhG4mBNTNIuy296niS2xXulU/edit?usp=sharing"",""RTK!I42"")"),233)</f>
        <v>233</v>
      </c>
      <c r="K801" s="817">
        <f ca="1">IF(I801&gt;0,J801*100/I801,0)</f>
        <v>5.8250000000000002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IFERROR(__xludf.DUMMYFUNCTION("IMPORTRANGE(""https://docs.google.com/spreadsheets/d/1MaWodYyGHDf7siQLGxnXhG4mBNTNIuy296niS2xXulU/edit?usp=sharing"",""RTK!L42"")"),608)</f>
        <v>608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814" t="s">
        <v>46</v>
      </c>
      <c r="I803" s="815">
        <f ca="1">IFERROR(__xludf.DUMMYFUNCTION("IMPORTRANGE(""https://docs.google.com/spreadsheets/d/1MaWodYyGHDf7siQLGxnXhG4mBNTNIuy296niS2xXulU/edit?usp=sharing"",""RTK!K42"")"),15000)</f>
        <v>15000</v>
      </c>
      <c r="J803" s="816">
        <f ca="1">IFERROR(__xludf.DUMMYFUNCTION("IMPORTRANGE(""https://docs.google.com/spreadsheets/d/1MaWodYyGHDf7siQLGxnXhG4mBNTNIuy296niS2xXulU/edit?usp=sharing"",""RTK!M42"")"),7539)</f>
        <v>7539</v>
      </c>
      <c r="K803" s="817">
        <f t="shared" ref="K803:K804" ca="1" si="327">IF(I803&gt;0,J803*100/I803,0)</f>
        <v>50.26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IFERROR(__xludf.DUMMYFUNCTION("IMPORTRANGE(""https://docs.google.com/spreadsheets/d/19vJNZY_5yjcGF2XGBMNZRCAIB0Kwfpjp8YEOfu-bneM/edit?usp=sharing"",""งานกองทุน!F42"")"),1542406.2)</f>
        <v>1542406.2</v>
      </c>
      <c r="K821" s="497">
        <f t="shared" ref="K821:K828" ca="1" si="336">IF(I821&gt;0,J821*100/I821,0)</f>
        <v>29.26025410375928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IFERROR(__xludf.DUMMYFUNCTION("IMPORTRANGE(""https://docs.google.com/spreadsheets/d/19vJNZY_5yjcGF2XGBMNZRCAIB0Kwfpjp8YEOfu-bneM/edit?usp=sharing"",""งานกองทุน!E42"")"),158)</f>
        <v>158</v>
      </c>
      <c r="K822" s="497">
        <f t="shared" ca="1" si="336"/>
        <v>34.347826086956523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IFERROR(__xludf.DUMMYFUNCTION("IMPORTRANGE(""https://docs.google.com/spreadsheets/d/19vJNZY_5yjcGF2XGBMNZRCAIB0Kwfpjp8YEOfu-bneM/edit?usp=sharing"",""งานกองทุน!K42"")"),2383703.07)</f>
        <v>2383703.0699999998</v>
      </c>
      <c r="K823" s="497">
        <f t="shared" ca="1" si="336"/>
        <v>7.282168487712144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IFERROR(__xludf.DUMMYFUNCTION("IMPORTRANGE(""https://docs.google.com/spreadsheets/d/19vJNZY_5yjcGF2XGBMNZRCAIB0Kwfpjp8YEOfu-bneM/edit?usp=sharing"",""งานกองทุน!J42"")"),588)</f>
        <v>588</v>
      </c>
      <c r="K824" s="497">
        <f t="shared" ca="1" si="336"/>
        <v>36.386138613861384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IFERROR(__xludf.DUMMYFUNCTION("IMPORTRANGE(""https://docs.google.com/spreadsheets/d/19vJNZY_5yjcGF2XGBMNZRCAIB0Kwfpjp8YEOfu-bneM/edit?usp=sharing"",""งานกองทุน!P42"")"),98892.05)</f>
        <v>98892.05</v>
      </c>
      <c r="K825" s="497">
        <f t="shared" ca="1" si="336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IFERROR(__xludf.DUMMYFUNCTION("IMPORTRANGE(""https://docs.google.com/spreadsheets/d/19vJNZY_5yjcGF2XGBMNZRCAIB0Kwfpjp8YEOfu-bneM/edit?usp=sharing"",""งานกองทุน!O42"")"),8)</f>
        <v>8</v>
      </c>
      <c r="K826" s="497">
        <f t="shared" ca="1" si="336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IFERROR(__xludf.DUMMYFUNCTION("IMPORTRANGE(""https://docs.google.com/spreadsheets/d/19vJNZY_5yjcGF2XGBMNZRCAIB0Kwfpjp8YEOfu-bneM/edit?usp=sharing"",""งานกองทุน!R42"")"),331)</f>
        <v>331</v>
      </c>
      <c r="J828" s="500">
        <f ca="1">IFERROR(__xludf.DUMMYFUNCTION("IMPORTRANGE(""https://docs.google.com/spreadsheets/d/19vJNZY_5yjcGF2XGBMNZRCAIB0Kwfpjp8YEOfu-bneM/edit?usp=sharing"",""งานกองทุน!T42"")"),0)</f>
        <v>0</v>
      </c>
      <c r="K828" s="501">
        <f t="shared" ca="1" si="336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A1DD0-0444-4EA7-884B-9C05FBC3DC5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348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2985048</v>
      </c>
      <c r="N8" s="22">
        <f t="shared" ca="1" si="0"/>
        <v>2128974.3199999998</v>
      </c>
      <c r="O8" s="22">
        <f t="shared" ref="O8:O16" ca="1" si="1">IF(L8&gt;0,N8*100/L8,0)</f>
        <v>35.066017144178574</v>
      </c>
      <c r="P8" s="22">
        <f t="shared" ref="P8:P16" ca="1" si="2">IF(M8&gt;0,N8*100/M8,0)</f>
        <v>71.321275905781064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2985048</v>
      </c>
      <c r="N10" s="30">
        <f t="shared" ca="1" si="3"/>
        <v>2128974.3199999998</v>
      </c>
      <c r="O10" s="30">
        <f t="shared" ca="1" si="1"/>
        <v>35.066017144178574</v>
      </c>
      <c r="P10" s="30">
        <f t="shared" ca="1" si="2"/>
        <v>71.321275905781064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5908332</v>
      </c>
      <c r="M11" s="497">
        <f t="shared" ca="1" si="4"/>
        <v>2822048</v>
      </c>
      <c r="N11" s="497">
        <f t="shared" ca="1" si="4"/>
        <v>1966474.3199999998</v>
      </c>
      <c r="O11" s="497">
        <f t="shared" ca="1" si="1"/>
        <v>33.283070754994803</v>
      </c>
      <c r="P11" s="497">
        <f t="shared" ca="1" si="2"/>
        <v>69.68252559843063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5908332</v>
      </c>
      <c r="M13" s="93">
        <f t="shared" ca="1" si="5"/>
        <v>2822048</v>
      </c>
      <c r="N13" s="93">
        <f t="shared" ca="1" si="5"/>
        <v>1966474.3199999998</v>
      </c>
      <c r="O13" s="93">
        <f t="shared" ca="1" si="1"/>
        <v>33.283070754994803</v>
      </c>
      <c r="P13" s="93">
        <f t="shared" ca="1" si="2"/>
        <v>69.68252559843063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2985048</v>
      </c>
      <c r="N18" s="22">
        <f t="shared" ca="1" si="8"/>
        <v>1530185.65</v>
      </c>
      <c r="O18" s="22">
        <f t="shared" ref="O18:O26" ca="1" si="9">IF(L18&gt;0,N18*100/L18,0)</f>
        <v>38.821237207036702</v>
      </c>
      <c r="P18" s="22">
        <f t="shared" ref="P18:P26" ca="1" si="10">IF(M18&gt;0,N18*100/M18,0)</f>
        <v>51.261676529154641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2985048</v>
      </c>
      <c r="N20" s="30">
        <f t="shared" ca="1" si="11"/>
        <v>1530185.65</v>
      </c>
      <c r="O20" s="30">
        <f t="shared" ca="1" si="9"/>
        <v>38.821237207036702</v>
      </c>
      <c r="P20" s="30">
        <f t="shared" ca="1" si="10"/>
        <v>51.261676529154641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2822048</v>
      </c>
      <c r="N21" s="497">
        <f t="shared" ca="1" si="12"/>
        <v>1367685.65</v>
      </c>
      <c r="O21" s="497">
        <f t="shared" ca="1" si="9"/>
        <v>36.195374237155363</v>
      </c>
      <c r="P21" s="497">
        <f t="shared" ca="1" si="10"/>
        <v>48.464294370613118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3778620</v>
      </c>
      <c r="M23" s="93">
        <f t="shared" ca="1" si="13"/>
        <v>2822048</v>
      </c>
      <c r="N23" s="93">
        <f t="shared" ca="1" si="13"/>
        <v>1367685.65</v>
      </c>
      <c r="O23" s="93">
        <f t="shared" ca="1" si="9"/>
        <v>36.195374237155363</v>
      </c>
      <c r="P23" s="93">
        <f t="shared" ca="1" si="10"/>
        <v>48.464294370613118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si="16"/>
        <v>0</v>
      </c>
      <c r="N28" s="22">
        <f t="shared" si="16"/>
        <v>598788.66999999993</v>
      </c>
      <c r="O28" s="22">
        <f t="shared" ref="O28:O37" ca="1" si="17">IF(L28&gt;0,N28*100/L28,0)</f>
        <v>28.115945724116685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si="19"/>
        <v>0</v>
      </c>
      <c r="N30" s="30">
        <f t="shared" si="19"/>
        <v>598788.66999999993</v>
      </c>
      <c r="O30" s="30">
        <f t="shared" ca="1" si="17"/>
        <v>28.115945724116685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2129712</v>
      </c>
      <c r="M31" s="497">
        <f t="shared" si="20"/>
        <v>0</v>
      </c>
      <c r="N31" s="497">
        <f t="shared" si="20"/>
        <v>598788.66999999993</v>
      </c>
      <c r="O31" s="497">
        <f t="shared" ca="1" si="17"/>
        <v>28.115945724116685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2129712</v>
      </c>
      <c r="M33" s="93">
        <f t="shared" si="21"/>
        <v>0</v>
      </c>
      <c r="N33" s="93">
        <f t="shared" si="21"/>
        <v>598788.66999999993</v>
      </c>
      <c r="O33" s="93">
        <f t="shared" ca="1" si="17"/>
        <v>28.115945724116685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3941620</v>
      </c>
      <c r="M37" s="843">
        <f t="shared" ca="1" si="24"/>
        <v>2985048</v>
      </c>
      <c r="N37" s="843">
        <f t="shared" ca="1" si="24"/>
        <v>1530185.65</v>
      </c>
      <c r="O37" s="843">
        <f t="shared" ca="1" si="17"/>
        <v>38.821237207036702</v>
      </c>
      <c r="P37" s="843">
        <f t="shared" ca="1" si="18"/>
        <v>51.261676529154641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665743</v>
      </c>
      <c r="N41" s="85">
        <f t="shared" ca="1" si="25"/>
        <v>220700</v>
      </c>
      <c r="O41" s="85">
        <f t="shared" ref="O41:O49" ca="1" si="26">IF(L41&gt;0,N41*100/L41,0)</f>
        <v>33.579307721567133</v>
      </c>
      <c r="P41" s="85">
        <f t="shared" ref="P41:P49" ca="1" si="27">IF(M41&gt;0,N41*100/M41,0)</f>
        <v>33.150930614366203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665743</v>
      </c>
      <c r="N43" s="92">
        <f t="shared" ca="1" si="28"/>
        <v>220700</v>
      </c>
      <c r="O43" s="92">
        <f t="shared" ca="1" si="26"/>
        <v>33.579307721567133</v>
      </c>
      <c r="P43" s="92">
        <f t="shared" ca="1" si="27"/>
        <v>33.150930614366203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665743</v>
      </c>
      <c r="N44" s="497">
        <f t="shared" ca="1" si="29"/>
        <v>220700</v>
      </c>
      <c r="O44" s="497">
        <f t="shared" ca="1" si="26"/>
        <v>33.579307721567133</v>
      </c>
      <c r="P44" s="497">
        <f t="shared" ca="1" si="27"/>
        <v>33.150930614366203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IFERROR(__xludf.DUMMYFUNCTION("IMPORTRANGE(""https://docs.google.com/spreadsheets/d/1MeEWN-I1oV_STSDYn1IFDPWt_1FKiwhDph83XaGc0o0/edit?usp=sharing"",""งบพรบ!R43"")"),665743)</f>
        <v>665743</v>
      </c>
      <c r="N46" s="93">
        <f ca="1">IFERROR(__xludf.DUMMYFUNCTION("IMPORTRANGE(""https://docs.google.com/spreadsheets/d/1MeEWN-I1oV_STSDYn1IFDPWt_1FKiwhDph83XaGc0o0/edit?usp=sharing"",""งบพรบ!T43"")"),220700)</f>
        <v>220700</v>
      </c>
      <c r="O46" s="93">
        <f t="shared" ca="1" si="26"/>
        <v>33.579307721567133</v>
      </c>
      <c r="P46" s="93">
        <f t="shared" ca="1" si="27"/>
        <v>33.150930614366203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603670</v>
      </c>
      <c r="N53" s="116">
        <f t="shared" ca="1" si="31"/>
        <v>355257.65</v>
      </c>
      <c r="O53" s="116">
        <f t="shared" ref="O53:O61" ca="1" si="32">IF(L53&gt;0,N53*100/L53,0)</f>
        <v>48.705463394570877</v>
      </c>
      <c r="P53" s="116">
        <f t="shared" ref="P53:P61" ca="1" si="33">IF(M53&gt;0,N53*100/M53,0)</f>
        <v>58.849644673414282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603670</v>
      </c>
      <c r="N55" s="123">
        <f t="shared" ca="1" si="34"/>
        <v>355257.65</v>
      </c>
      <c r="O55" s="123">
        <f t="shared" ca="1" si="32"/>
        <v>48.705463394570877</v>
      </c>
      <c r="P55" s="123">
        <f t="shared" ca="1" si="33"/>
        <v>58.849644673414282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603670</v>
      </c>
      <c r="N56" s="497">
        <f t="shared" ca="1" si="35"/>
        <v>355257.65</v>
      </c>
      <c r="O56" s="497">
        <f t="shared" ca="1" si="32"/>
        <v>48.705463394570877</v>
      </c>
      <c r="P56" s="497">
        <f t="shared" ca="1" si="33"/>
        <v>58.849644673414282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IFERROR(__xludf.DUMMYFUNCTION("IMPORTRANGE(""https://docs.google.com/spreadsheets/d/1MeEWN-I1oV_STSDYn1IFDPWt_1FKiwhDph83XaGc0o0/edit?usp=sharing"",""งบพรบ!AB43"")"),603670)</f>
        <v>603670</v>
      </c>
      <c r="N58" s="93">
        <f ca="1">IFERROR(__xludf.DUMMYFUNCTION("IMPORTRANGE(""https://docs.google.com/spreadsheets/d/1MeEWN-I1oV_STSDYn1IFDPWt_1FKiwhDph83XaGc0o0/edit?usp=sharing"",""งบพรบ!AD43"")"),355257.65)</f>
        <v>355257.65</v>
      </c>
      <c r="O58" s="93">
        <f t="shared" ca="1" si="32"/>
        <v>48.705463394570877</v>
      </c>
      <c r="P58" s="93">
        <f t="shared" ca="1" si="33"/>
        <v>58.849644673414282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384440</v>
      </c>
      <c r="N88" s="155">
        <f t="shared" ca="1" si="49"/>
        <v>185919</v>
      </c>
      <c r="O88" s="155">
        <f t="shared" ref="O88:O96" ca="1" si="50">IF(L88&gt;0,N88*100/L88,0)</f>
        <v>36.523455917020271</v>
      </c>
      <c r="P88" s="155">
        <f t="shared" ref="P88:P96" ca="1" si="51">IF(M88&gt;0,N88*100/M88,0)</f>
        <v>48.360992612631357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509040</v>
      </c>
      <c r="M90" s="93">
        <f t="shared" ca="1" si="52"/>
        <v>384440</v>
      </c>
      <c r="N90" s="93">
        <f t="shared" ca="1" si="52"/>
        <v>185919</v>
      </c>
      <c r="O90" s="93">
        <f t="shared" ca="1" si="50"/>
        <v>36.523455917020271</v>
      </c>
      <c r="P90" s="93">
        <f t="shared" ca="1" si="51"/>
        <v>48.360992612631357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384440</v>
      </c>
      <c r="N91" s="497">
        <f t="shared" ca="1" si="53"/>
        <v>185919</v>
      </c>
      <c r="O91" s="497">
        <f t="shared" ca="1" si="50"/>
        <v>36.523455917020271</v>
      </c>
      <c r="P91" s="497">
        <f t="shared" ca="1" si="51"/>
        <v>48.360992612631357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IFERROR(__xludf.DUMMYFUNCTION("IMPORTRANGE(""https://docs.google.com/spreadsheets/d/1MeEWN-I1oV_STSDYn1IFDPWt_1FKiwhDph83XaGc0o0/edit?usp=sharing"",""งบพรบ!AV43"")"),384440)</f>
        <v>384440</v>
      </c>
      <c r="N93" s="93">
        <f ca="1">IFERROR(__xludf.DUMMYFUNCTION("IMPORTRANGE(""https://docs.google.com/spreadsheets/d/1MeEWN-I1oV_STSDYn1IFDPWt_1FKiwhDph83XaGc0o0/edit?usp=sharing"",""งบพรบ!AX43"")"),185919)</f>
        <v>185919</v>
      </c>
      <c r="O93" s="93">
        <f t="shared" ca="1" si="50"/>
        <v>36.523455917020271</v>
      </c>
      <c r="P93" s="93">
        <f t="shared" ca="1" si="51"/>
        <v>48.360992612631357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133600</v>
      </c>
      <c r="N132" s="155">
        <f t="shared" ca="1" si="69"/>
        <v>102500</v>
      </c>
      <c r="O132" s="155">
        <f t="shared" ref="O132:O140" ca="1" si="70">IF(L132&gt;0,N132*100/L132,0)</f>
        <v>67.587616629850643</v>
      </c>
      <c r="P132" s="155">
        <f t="shared" ref="P132:P140" ca="1" si="71">IF(M132&gt;0,N132*100/M132,0)</f>
        <v>76.721556886227546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151655</v>
      </c>
      <c r="M134" s="93">
        <f t="shared" ca="1" si="72"/>
        <v>133600</v>
      </c>
      <c r="N134" s="93">
        <f t="shared" ca="1" si="72"/>
        <v>102500</v>
      </c>
      <c r="O134" s="93">
        <f t="shared" ca="1" si="70"/>
        <v>67.587616629850643</v>
      </c>
      <c r="P134" s="93">
        <f t="shared" ca="1" si="71"/>
        <v>76.721556886227546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30600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IFERROR(__xludf.DUMMYFUNCTION("IMPORTRANGE(""https://docs.google.com/spreadsheets/d/1MeEWN-I1oV_STSDYn1IFDPWt_1FKiwhDph83XaGc0o0/edit?usp=sharing"",""งบพรบ!BP43"")"),30600)</f>
        <v>30600</v>
      </c>
      <c r="N137" s="93">
        <f ca="1">IFERROR(__xludf.DUMMYFUNCTION("IMPORTRANGE(""https://docs.google.com/spreadsheets/d/1MeEWN-I1oV_STSDYn1IFDPWt_1FKiwhDph83XaGc0o0/edit?usp=sharing"",""งบพรบ!BR43"")"),0)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2592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33.402061855670105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2592</v>
      </c>
      <c r="O151" s="93">
        <f t="shared" ca="1" si="78"/>
        <v>0</v>
      </c>
      <c r="P151" s="93">
        <f t="shared" ca="1" si="79"/>
        <v>33.402061855670105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2592</v>
      </c>
      <c r="O152" s="497">
        <f t="shared" ca="1" si="78"/>
        <v>0</v>
      </c>
      <c r="P152" s="497">
        <f t="shared" ca="1" si="79"/>
        <v>33.402061855670105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IFERROR(__xludf.DUMMYFUNCTION("IMPORTRANGE(""https://docs.google.com/spreadsheets/d/1MeEWN-I1oV_STSDYn1IFDPWt_1FKiwhDph83XaGc0o0/edit?usp=sharing"",""งบพรบ!CB43"")"),2592)</f>
        <v>2592</v>
      </c>
      <c r="O154" s="93">
        <f t="shared" ca="1" si="78"/>
        <v>0</v>
      </c>
      <c r="P154" s="93">
        <f t="shared" ca="1" si="79"/>
        <v>33.402061855670105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0</v>
      </c>
      <c r="O165" s="155">
        <f t="shared" ref="O165:O173" ca="1" si="85">IF(L165&gt;0,N165*100/L165,0)</f>
        <v>0</v>
      </c>
      <c r="P165" s="155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IFERROR(__xludf.DUMMYFUNCTION("IMPORTRANGE(""https://docs.google.com/spreadsheets/d/1MeEWN-I1oV_STSDYn1IFDPWt_1FKiwhDph83XaGc0o0/edit?usp=sharing"",""งบพรบ!CJ43"")"),22055)</f>
        <v>22055</v>
      </c>
      <c r="N170" s="93">
        <f ca="1">IFERROR(__xludf.DUMMYFUNCTION("IMPORTRANGE(""https://docs.google.com/spreadsheets/d/1MeEWN-I1oV_STSDYn1IFDPWt_1FKiwhDph83XaGc0o0/edit?usp=sharing"",""งบพรบ!CL43"")"),0)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81500</v>
      </c>
      <c r="N181" s="155">
        <f t="shared" ca="1" si="92"/>
        <v>58015</v>
      </c>
      <c r="O181" s="155">
        <f t="shared" ref="O181:O189" ca="1" si="93">IF(L181&gt;0,N181*100/L181,0)</f>
        <v>49.926850258175563</v>
      </c>
      <c r="P181" s="155">
        <f t="shared" ref="P181:P189" ca="1" si="94">IF(M181&gt;0,N181*100/M181,0)</f>
        <v>71.184049079754601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116200</v>
      </c>
      <c r="M183" s="93">
        <f t="shared" ca="1" si="95"/>
        <v>81500</v>
      </c>
      <c r="N183" s="93">
        <f t="shared" ca="1" si="95"/>
        <v>58015</v>
      </c>
      <c r="O183" s="93">
        <f t="shared" ca="1" si="93"/>
        <v>49.926850258175563</v>
      </c>
      <c r="P183" s="93">
        <f t="shared" ca="1" si="94"/>
        <v>71.184049079754601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81500</v>
      </c>
      <c r="N184" s="497">
        <f t="shared" ca="1" si="96"/>
        <v>58015</v>
      </c>
      <c r="O184" s="497">
        <f t="shared" ca="1" si="93"/>
        <v>49.926850258175563</v>
      </c>
      <c r="P184" s="497">
        <f t="shared" ca="1" si="94"/>
        <v>71.184049079754601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IFERROR(__xludf.DUMMYFUNCTION("IMPORTRANGE(""https://docs.google.com/spreadsheets/d/1MeEWN-I1oV_STSDYn1IFDPWt_1FKiwhDph83XaGc0o0/edit?usp=sharing"",""งบพรบ!CT43"")"),81500)</f>
        <v>81500</v>
      </c>
      <c r="N186" s="93">
        <f ca="1">IFERROR(__xludf.DUMMYFUNCTION("IMPORTRANGE(""https://docs.google.com/spreadsheets/d/1MeEWN-I1oV_STSDYn1IFDPWt_1FKiwhDph83XaGc0o0/edit?usp=sharing"",""งบพรบ!CV43"")"),58015)</f>
        <v>58015</v>
      </c>
      <c r="O186" s="93">
        <f t="shared" ca="1" si="93"/>
        <v>49.926850258175563</v>
      </c>
      <c r="P186" s="93">
        <f t="shared" ca="1" si="94"/>
        <v>71.184049079754601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4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17460</v>
      </c>
      <c r="O209" s="155">
        <f ca="1">IF(L209&gt;0,N209*100/L209,0)</f>
        <v>62.357142857142854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4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4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23466</v>
      </c>
      <c r="O261" s="155">
        <f t="shared" ref="O261:O269" ca="1" si="117">IF(L261&gt;0,N261*100/L261,0)</f>
        <v>87.234200743494426</v>
      </c>
      <c r="P261" s="155">
        <f t="shared" ref="P261:P269" ca="1" si="118">IF(M261&gt;0,N261*100/M261,0)</f>
        <v>98.18410041841004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23466</v>
      </c>
      <c r="O263" s="93">
        <f t="shared" ca="1" si="117"/>
        <v>87.234200743494426</v>
      </c>
      <c r="P263" s="93">
        <f t="shared" ca="1" si="118"/>
        <v>98.18410041841004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23466</v>
      </c>
      <c r="O264" s="497">
        <f t="shared" ca="1" si="117"/>
        <v>87.234200743494426</v>
      </c>
      <c r="P264" s="497">
        <f t="shared" ca="1" si="118"/>
        <v>98.18410041841004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IFERROR(__xludf.DUMMYFUNCTION("IMPORTRANGE(""https://docs.google.com/spreadsheets/d/1MeEWN-I1oV_STSDYn1IFDPWt_1FKiwhDph83XaGc0o0/edit?usp=sharing"",""งบพรบ!DD43"")"),23900)</f>
        <v>23900</v>
      </c>
      <c r="N266" s="93">
        <f ca="1">IFERROR(__xludf.DUMMYFUNCTION("IMPORTRANGE(""https://docs.google.com/spreadsheets/d/1MeEWN-I1oV_STSDYn1IFDPWt_1FKiwhDph83XaGc0o0/edit?usp=sharing"",""งบพรบ!DF43"")"),23466)</f>
        <v>23466</v>
      </c>
      <c r="O266" s="93">
        <f t="shared" ca="1" si="117"/>
        <v>87.234200743494426</v>
      </c>
      <c r="P266" s="93">
        <f t="shared" ca="1" si="118"/>
        <v>98.18410041841004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200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29640</v>
      </c>
      <c r="O277" s="155">
        <f t="shared" ref="O277:O285" ca="1" si="126">IF(L277&gt;0,N277*100/L277,0)</f>
        <v>39.185616076150183</v>
      </c>
      <c r="P277" s="155">
        <f t="shared" ref="P277:P285" ca="1" si="127">IF(M277&gt;0,N277*100/M277,0)</f>
        <v>78.997867803837948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29640</v>
      </c>
      <c r="O279" s="93">
        <f t="shared" ca="1" si="126"/>
        <v>39.185616076150183</v>
      </c>
      <c r="P279" s="93">
        <f t="shared" ca="1" si="127"/>
        <v>78.997867803837948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29640</v>
      </c>
      <c r="O280" s="497">
        <f t="shared" ca="1" si="126"/>
        <v>39.185616076150183</v>
      </c>
      <c r="P280" s="497">
        <f t="shared" ca="1" si="127"/>
        <v>78.997867803837948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IFERROR(__xludf.DUMMYFUNCTION("IMPORTRANGE(""https://docs.google.com/spreadsheets/d/1MeEWN-I1oV_STSDYn1IFDPWt_1FKiwhDph83XaGc0o0/edit?usp=sharing"",""งบพรบ!DN43"")"),37520)</f>
        <v>37520</v>
      </c>
      <c r="N282" s="93">
        <f ca="1">IFERROR(__xludf.DUMMYFUNCTION("IMPORTRANGE(""https://docs.google.com/spreadsheets/d/1MeEWN-I1oV_STSDYn1IFDPWt_1FKiwhDph83XaGc0o0/edit?usp=sharing"",""งบพรบ!DP43"")"),29640)</f>
        <v>29640</v>
      </c>
      <c r="O282" s="93">
        <f t="shared" ca="1" si="126"/>
        <v>39.185616076150183</v>
      </c>
      <c r="P282" s="93">
        <f t="shared" ca="1" si="127"/>
        <v>78.997867803837948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IFERROR(__xludf.DUMMYFUNCTION("IMPORTRANGE(""https://docs.google.com/spreadsheets/d/1QqKyyYR6Q21VydFLVH3TRQUabQu_ym0Zz7PgGX0-kHA/edit?usp=sharing"",""แผน!EB43"")"),20)</f>
        <v>20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2075</v>
      </c>
      <c r="K327" s="445">
        <f ca="1">IF(I327&gt;0,J327*100/I327,0)</f>
        <v>54.60526315789474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88500</v>
      </c>
      <c r="N328" s="155">
        <f t="shared" ca="1" si="149"/>
        <v>53380</v>
      </c>
      <c r="O328" s="155">
        <f t="shared" ref="O328:O336" ca="1" si="150">IF(L328&gt;0,N328*100/L328,0)</f>
        <v>30.158192090395481</v>
      </c>
      <c r="P328" s="155">
        <f t="shared" ref="P328:P336" ca="1" si="151">IF(M328&gt;0,N328*100/M328,0)</f>
        <v>60.316384180790962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177000</v>
      </c>
      <c r="M330" s="93">
        <f t="shared" ca="1" si="152"/>
        <v>88500</v>
      </c>
      <c r="N330" s="93">
        <f t="shared" ca="1" si="152"/>
        <v>53380</v>
      </c>
      <c r="O330" s="93">
        <f t="shared" ca="1" si="150"/>
        <v>30.158192090395481</v>
      </c>
      <c r="P330" s="93">
        <f t="shared" ca="1" si="151"/>
        <v>60.316384180790962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88500</v>
      </c>
      <c r="N331" s="497">
        <f t="shared" ca="1" si="153"/>
        <v>53380</v>
      </c>
      <c r="O331" s="497">
        <f t="shared" ca="1" si="150"/>
        <v>30.158192090395481</v>
      </c>
      <c r="P331" s="497">
        <f t="shared" ca="1" si="151"/>
        <v>60.316384180790962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IFERROR(__xludf.DUMMYFUNCTION("IMPORTRANGE(""https://docs.google.com/spreadsheets/d/1MeEWN-I1oV_STSDYn1IFDPWt_1FKiwhDph83XaGc0o0/edit?usp=sharing"",""งบพรบ!ER43"")"),88500)</f>
        <v>88500</v>
      </c>
      <c r="N333" s="93">
        <f ca="1">IFERROR(__xludf.DUMMYFUNCTION("IMPORTRANGE(""https://docs.google.com/spreadsheets/d/1MeEWN-I1oV_STSDYn1IFDPWt_1FKiwhDph83XaGc0o0/edit?usp=sharing"",""งบพรบ!ET43"")"),53380)</f>
        <v>53380</v>
      </c>
      <c r="O333" s="93">
        <f t="shared" ca="1" si="150"/>
        <v>30.158192090395481</v>
      </c>
      <c r="P333" s="93">
        <f t="shared" ca="1" si="151"/>
        <v>60.316384180790962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IFERROR(__xludf.DUMMYFUNCTION("IMPORTRANGE(""https://docs.google.com/spreadsheets/d/1kVcqe37tkHyjCSG3S0O1AXqVkqjo8mSIZil3BcpIysc/edit?usp=sharing"",""ศูนย์!D43"")"),1692)</f>
        <v>1692</v>
      </c>
      <c r="K338" s="497">
        <f ca="1">IF(I338&gt;0,J338*100/I338,0)</f>
        <v>44.526315789473685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IFERROR(__xludf.DUMMYFUNCTION("IMPORTRANGE(""https://docs.google.com/spreadsheets/d/1kVcqe37tkHyjCSG3S0O1AXqVkqjo8mSIZil3BcpIysc/edit?usp=sharing"",""ศูนย์!E43"")"),3)</f>
        <v>3</v>
      </c>
      <c r="K340" s="497">
        <f ca="1">IF(I340&gt;0,J340*100/I340,0)</f>
        <v>42.857142857142854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IFERROR(__xludf.DUMMYFUNCTION("IMPORTRANGE(""https://docs.google.com/spreadsheets/d/1kVcqe37tkHyjCSG3S0O1AXqVkqjo8mSIZil3BcpIysc/edit?usp=sharing"",""ศูนย์!F43"")"),305)</f>
        <v>305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IFERROR(__xludf.DUMMYFUNCTION("IMPORTRANGE(""https://docs.google.com/spreadsheets/d/1kVcqe37tkHyjCSG3S0O1AXqVkqjo8mSIZil3BcpIysc/edit?usp=sharing"",""ศูนย์!H43"")"),78)</f>
        <v>78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936360</v>
      </c>
      <c r="N345" s="155">
        <f t="shared" ca="1" si="155"/>
        <v>498716</v>
      </c>
      <c r="O345" s="155">
        <f t="shared" ref="O345:O353" ca="1" si="156">IF(L345&gt;0,N345*100/L345,0)</f>
        <v>33.777362375379283</v>
      </c>
      <c r="P345" s="155">
        <f t="shared" ref="P345:P353" ca="1" si="157">IF(M345&gt;0,N345*100/M345,0)</f>
        <v>53.261138878209238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1476480</v>
      </c>
      <c r="M347" s="93">
        <f t="shared" ca="1" si="158"/>
        <v>936360</v>
      </c>
      <c r="N347" s="93">
        <f t="shared" ca="1" si="158"/>
        <v>498716</v>
      </c>
      <c r="O347" s="93">
        <f t="shared" ca="1" si="156"/>
        <v>33.777362375379283</v>
      </c>
      <c r="P347" s="93">
        <f t="shared" ca="1" si="157"/>
        <v>53.261138878209238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876360</v>
      </c>
      <c r="N348" s="497">
        <f t="shared" ca="1" si="159"/>
        <v>438716</v>
      </c>
      <c r="O348" s="497">
        <f t="shared" ca="1" si="156"/>
        <v>30.972269287247261</v>
      </c>
      <c r="P348" s="497">
        <f t="shared" ca="1" si="157"/>
        <v>50.061162079510702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IFERROR(__xludf.DUMMYFUNCTION("IMPORTRANGE(""https://docs.google.com/spreadsheets/d/1MeEWN-I1oV_STSDYn1IFDPWt_1FKiwhDph83XaGc0o0/edit?usp=sharing"",""งบพรบ!FB43"")"),876360)</f>
        <v>876360</v>
      </c>
      <c r="N350" s="93">
        <f ca="1">IFERROR(__xludf.DUMMYFUNCTION("IMPORTRANGE(""https://docs.google.com/spreadsheets/d/1MeEWN-I1oV_STSDYn1IFDPWt_1FKiwhDph83XaGc0o0/edit?usp=sharing"",""งบพรบ!FD43"")"),438716)</f>
        <v>438716</v>
      </c>
      <c r="O350" s="93">
        <f t="shared" ca="1" si="156"/>
        <v>30.972269287247261</v>
      </c>
      <c r="P350" s="93">
        <f t="shared" ca="1" si="157"/>
        <v>50.061162079510702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161</v>
      </c>
      <c r="K355" s="465">
        <f ca="1">IF(I355&gt;0,J355*100/I355,0)</f>
        <v>21.32450331125828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IFERROR(__xludf.DUMMYFUNCTION("IMPORTRANGE(""https://docs.google.com/spreadsheets/d/1XWAQStnk-4SwqDmLtmXYiTMKHgktTP8We1SCoS47DrQ/edit?usp=sharing"",""จัดที่ดิน!W43"")"),165)</f>
        <v>165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IFERROR(__xludf.DUMMYFUNCTION("IMPORTRANGE(""https://docs.google.com/spreadsheets/d/1XWAQStnk-4SwqDmLtmXYiTMKHgktTP8We1SCoS47DrQ/edit?usp=sharing"",""จัดที่ดิน!X43"")"),1330.94)</f>
        <v>1330.94</v>
      </c>
      <c r="K359" s="497">
        <f t="shared" ca="1" si="161"/>
        <v>17.628344370860926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IFERROR(__xludf.DUMMYFUNCTION("IMPORTRANGE(""https://docs.google.com/spreadsheets/d/1XWAQStnk-4SwqDmLtmXYiTMKHgktTP8We1SCoS47DrQ/edit?usp=sharing"",""จัดที่ดิน!Y43"")"),159)</f>
        <v>159</v>
      </c>
      <c r="K360" s="497">
        <f t="shared" ca="1" si="161"/>
        <v>21.059602649006621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IFERROR(__xludf.DUMMYFUNCTION("IMPORTRANGE(""https://docs.google.com/spreadsheets/d/1XWAQStnk-4SwqDmLtmXYiTMKHgktTP8We1SCoS47DrQ/edit?usp=sharing"",""จัดที่ดิน!Z43"")"),1422.41)</f>
        <v>1422.41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IFERROR(__xludf.DUMMYFUNCTION("IMPORTRANGE(""https://docs.google.com/spreadsheets/d/1XWAQStnk-4SwqDmLtmXYiTMKHgktTP8We1SCoS47DrQ/edit?usp=sharing"",""จัดที่ดิน!AA43"")"),161)</f>
        <v>161</v>
      </c>
      <c r="K362" s="497">
        <f t="shared" ca="1" si="161"/>
        <v>21.32450331125828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IFERROR(__xludf.DUMMYFUNCTION("IMPORTRANGE(""https://docs.google.com/spreadsheets/d/1XWAQStnk-4SwqDmLtmXYiTMKHgktTP8We1SCoS47DrQ/edit?usp=sharing"",""จัดที่ดิน!AB43"")"),1431.93)</f>
        <v>1431.93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443</v>
      </c>
      <c r="K364" s="479">
        <f t="shared" ca="1" si="161"/>
        <v>38.354978354978357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39</v>
      </c>
      <c r="K365" s="491">
        <f t="shared" ca="1" si="161"/>
        <v>10.985915492957746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IFERROR(__xludf.DUMMYFUNCTION("IMPORTRANGE(""https://docs.google.com/spreadsheets/d/1XWAQStnk-4SwqDmLtmXYiTMKHgktTP8We1SCoS47DrQ/edit?usp=sharing"",""จัดที่ดิน!E43"")"),45)</f>
        <v>45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IFERROR(__xludf.DUMMYFUNCTION("IMPORTRANGE(""https://docs.google.com/spreadsheets/d/1XWAQStnk-4SwqDmLtmXYiTMKHgktTP8We1SCoS47DrQ/edit?usp=sharing"",""จัดที่ดิน!F43"")"),267.22)</f>
        <v>267.22000000000003</v>
      </c>
      <c r="K369" s="497">
        <f t="shared" ca="1" si="163"/>
        <v>7.5273239436619725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IFERROR(__xludf.DUMMYFUNCTION("IMPORTRANGE(""https://docs.google.com/spreadsheets/d/1XWAQStnk-4SwqDmLtmXYiTMKHgktTP8We1SCoS47DrQ/edit?usp=sharing"",""จัดที่ดิน!G43"")"),39)</f>
        <v>39</v>
      </c>
      <c r="K370" s="497">
        <f t="shared" ca="1" si="163"/>
        <v>10.985915492957746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IFERROR(__xludf.DUMMYFUNCTION("IMPORTRANGE(""https://docs.google.com/spreadsheets/d/1XWAQStnk-4SwqDmLtmXYiTMKHgktTP8We1SCoS47DrQ/edit?usp=sharing"",""จัดที่ดิน!H43"")"),351.24)</f>
        <v>351.24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IFERROR(__xludf.DUMMYFUNCTION("IMPORTRANGE(""https://docs.google.com/spreadsheets/d/1XWAQStnk-4SwqDmLtmXYiTMKHgktTP8We1SCoS47DrQ/edit?usp=sharing"",""จัดที่ดิน!I43"")"),39)</f>
        <v>39</v>
      </c>
      <c r="K372" s="497">
        <f t="shared" ca="1" si="163"/>
        <v>10.985915492957746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IFERROR(__xludf.DUMMYFUNCTION("IMPORTRANGE(""https://docs.google.com/spreadsheets/d/1XWAQStnk-4SwqDmLtmXYiTMKHgktTP8We1SCoS47DrQ/edit?usp=sharing"",""จัดที่ดิน!J43"")"),351.24)</f>
        <v>351.24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404</v>
      </c>
      <c r="K374" s="491">
        <f t="shared" ca="1" si="163"/>
        <v>50.5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IFERROR(__xludf.DUMMYFUNCTION("IMPORTRANGE(""https://docs.google.com/spreadsheets/d/1XWAQStnk-4SwqDmLtmXYiTMKHgktTP8We1SCoS47DrQ/edit?usp=sharing"",""จัดที่ดิน!AH43"")"),120)</f>
        <v>120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IFERROR(__xludf.DUMMYFUNCTION("IMPORTRANGE(""https://docs.google.com/spreadsheets/d/1XWAQStnk-4SwqDmLtmXYiTMKHgktTP8We1SCoS47DrQ/edit?usp=sharing"",""จัดที่ดิน!AI43"")"),1063.72)</f>
        <v>1063.72</v>
      </c>
      <c r="K378" s="497">
        <f t="shared" ca="1" si="164"/>
        <v>26.593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IFERROR(__xludf.DUMMYFUNCTION("IMPORTRANGE(""https://docs.google.com/spreadsheets/d/1XWAQStnk-4SwqDmLtmXYiTMKHgktTP8We1SCoS47DrQ/edit?usp=sharing"",""จัดที่ดิน!AJ43"")"),402)</f>
        <v>402</v>
      </c>
      <c r="K379" s="497">
        <f t="shared" ca="1" si="164"/>
        <v>50.25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IFERROR(__xludf.DUMMYFUNCTION("IMPORTRANGE(""https://docs.google.com/spreadsheets/d/1XWAQStnk-4SwqDmLtmXYiTMKHgktTP8We1SCoS47DrQ/edit?usp=sharing"",""จัดที่ดิน!AK43"")"),5539.26)</f>
        <v>5539.26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IFERROR(__xludf.DUMMYFUNCTION("IMPORTRANGE(""https://docs.google.com/spreadsheets/d/1XWAQStnk-4SwqDmLtmXYiTMKHgktTP8We1SCoS47DrQ/edit?usp=sharing"",""จัดที่ดิน!AL43"")"),404)</f>
        <v>404</v>
      </c>
      <c r="K381" s="497">
        <f t="shared" ca="1" si="164"/>
        <v>50.5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IFERROR(__xludf.DUMMYFUNCTION("IMPORTRANGE(""https://docs.google.com/spreadsheets/d/1XWAQStnk-4SwqDmLtmXYiTMKHgktTP8We1SCoS47DrQ/edit?usp=sharing"",""จัดที่ดิน!AM43"")"),5548.78)</f>
        <v>5548.78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IFERROR(__xludf.DUMMYFUNCTION("IMPORTRANGE(""https://docs.google.com/spreadsheets/d/1QqKyyYR6Q21VydFLVH3TRQUabQu_ym0Zz7PgGX0-kHA/edit?usp=sharing"",""แผน!EW43"")"),100)</f>
        <v>100</v>
      </c>
      <c r="J385" s="500">
        <f ca="1">IFERROR(__xludf.DUMMYFUNCTION("IMPORTRANGE(""https://docs.google.com/spreadsheets/d/1XWAQStnk-4SwqDmLtmXYiTMKHgktTP8We1SCoS47DrQ/edit?usp=sharing"",""จัดที่ดิน!AP43"")"),1)</f>
        <v>1</v>
      </c>
      <c r="K385" s="501">
        <f ca="1">IF(I385&gt;0,J385*100/I385,0)</f>
        <v>1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2129712</v>
      </c>
      <c r="M414" s="548">
        <f t="shared" si="181"/>
        <v>0</v>
      </c>
      <c r="N414" s="548">
        <f t="shared" si="181"/>
        <v>598788.66999999993</v>
      </c>
      <c r="O414" s="548">
        <f ca="1">IF(L414&gt;0,N414*100/L414,0)</f>
        <v>28.115945724116685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20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61990</v>
      </c>
      <c r="O419" s="155">
        <f t="shared" ref="O419:O424" ca="1" si="185">IF(L419&gt;0,N419*100/L419,0)</f>
        <v>78.807526061530638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61990</v>
      </c>
      <c r="O421" s="93">
        <f t="shared" ca="1" si="185"/>
        <v>78.807526061530638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61990</v>
      </c>
      <c r="O422" s="497">
        <f t="shared" ca="1" si="185"/>
        <v>78.807526061530638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v>0</v>
      </c>
      <c r="N424" s="93">
        <f>N425+N426+N427+N428</f>
        <v>61990</v>
      </c>
      <c r="O424" s="93">
        <f t="shared" ca="1" si="185"/>
        <v>78.807526061530638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48400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13590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IFERROR(__xludf.DUMMYFUNCTION("IMPORTRANGE(""https://docs.google.com/spreadsheets/d/1QqKyyYR6Q21VydFLVH3TRQUabQu_ym0Zz7PgGX0-kHA/edit?usp=sharing"",""แผน!FC43"")"),20)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IFERROR(__xludf.DUMMYFUNCTION("IMPORTRANGE(""https://docs.google.com/spreadsheets/d/1QqKyyYR6Q21VydFLVH3TRQUabQu_ym0Zz7PgGX0-kHA/edit?usp=sharing"",""แผน!FD43"")"),0)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IFERROR(__xludf.DUMMYFUNCTION("IMPORTRANGE(""https://docs.google.com/spreadsheets/d/1QqKyyYR6Q21VydFLVH3TRQUabQu_ym0Zz7PgGX0-kHA/edit?usp=sharing"",""แผน!FF43"")"),20)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100</v>
      </c>
      <c r="J442" s="584">
        <f t="shared" si="195"/>
        <v>100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235</v>
      </c>
      <c r="J443" s="564">
        <f t="shared" si="196"/>
        <v>235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si="197"/>
        <v>0</v>
      </c>
      <c r="N444" s="195">
        <f t="shared" si="197"/>
        <v>219250</v>
      </c>
      <c r="O444" s="195">
        <f t="shared" ref="O444:O449" ca="1" si="198">IF(L444&gt;0,N444*100/L444,0)</f>
        <v>38.378728469402041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571280</v>
      </c>
      <c r="M446" s="93">
        <f t="shared" si="200"/>
        <v>0</v>
      </c>
      <c r="N446" s="93">
        <f t="shared" si="200"/>
        <v>219250</v>
      </c>
      <c r="O446" s="93">
        <f t="shared" ca="1" si="198"/>
        <v>38.378728469402041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si="201"/>
        <v>0</v>
      </c>
      <c r="N447" s="497">
        <f t="shared" si="201"/>
        <v>219250</v>
      </c>
      <c r="O447" s="497">
        <f t="shared" ca="1" si="198"/>
        <v>38.378728469402041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v>0</v>
      </c>
      <c r="N449" s="93">
        <f>N450+N451+N452+N453</f>
        <v>219250</v>
      </c>
      <c r="O449" s="93">
        <f t="shared" ca="1" si="198"/>
        <v>38.378728469402041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128800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51450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IFERROR(__xludf.DUMMYFUNCTION("IMPORTRANGE(""https://docs.google.com/spreadsheets/d/1QqKyyYR6Q21VydFLVH3TRQUabQu_ym0Zz7PgGX0-kHA/edit?usp=sharing"",""แผน!FX43"")"),31)</f>
        <v>31</v>
      </c>
      <c r="J465" s="584">
        <f>J485+J489+J492</f>
        <v>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IFERROR(__xludf.DUMMYFUNCTION("IMPORTRANGE(""https://docs.google.com/spreadsheets/d/1QqKyyYR6Q21VydFLVH3TRQUabQu_ym0Zz7PgGX0-kHA/edit?usp=sharing"",""แผน!FW43"")"),300)</f>
        <v>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si="206"/>
        <v>0</v>
      </c>
      <c r="N467" s="195">
        <f t="shared" si="206"/>
        <v>52880</v>
      </c>
      <c r="O467" s="195">
        <f t="shared" ref="O467:O472" ca="1" si="207">IF(L467&gt;0,N467*100/L467,0)</f>
        <v>20.262632532867386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260973</v>
      </c>
      <c r="M469" s="93">
        <f t="shared" si="209"/>
        <v>0</v>
      </c>
      <c r="N469" s="93">
        <f t="shared" si="209"/>
        <v>52880</v>
      </c>
      <c r="O469" s="93">
        <f t="shared" ca="1" si="207"/>
        <v>20.262632532867386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si="210"/>
        <v>0</v>
      </c>
      <c r="N470" s="497">
        <f t="shared" si="210"/>
        <v>52880</v>
      </c>
      <c r="O470" s="497">
        <f t="shared" ca="1" si="207"/>
        <v>20.262632532867386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v>0</v>
      </c>
      <c r="N472" s="93">
        <f>N473+N474+N475+N476</f>
        <v>52880</v>
      </c>
      <c r="O472" s="93">
        <f t="shared" ca="1" si="207"/>
        <v>20.262632532867386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36753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16127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/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IFERROR(__xludf.DUMMYFUNCTION("IMPORTRANGE(""https://docs.google.com/spreadsheets/d/1QqKyyYR6Q21VydFLVH3TRQUabQu_ym0Zz7PgGX0-kHA/edit?usp=sharing"",""แผน!GU43"")"),0)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87155</v>
      </c>
      <c r="J543" s="681">
        <f t="shared" si="235"/>
        <v>85691.12000000001</v>
      </c>
      <c r="K543" s="682">
        <f t="shared" ca="1" si="234"/>
        <v>98.320371751477268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421879</v>
      </c>
      <c r="M544" s="155">
        <f t="shared" si="236"/>
        <v>0</v>
      </c>
      <c r="N544" s="155">
        <f t="shared" si="236"/>
        <v>101132.6</v>
      </c>
      <c r="O544" s="155">
        <f t="shared" ref="O544:O549" ca="1" si="237">IF(L544&gt;0,N544*100/L544,0)</f>
        <v>23.97194456230341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421879</v>
      </c>
      <c r="M546" s="93">
        <f t="shared" si="240"/>
        <v>0</v>
      </c>
      <c r="N546" s="93">
        <f t="shared" si="240"/>
        <v>101132.6</v>
      </c>
      <c r="O546" s="93">
        <f t="shared" ca="1" si="237"/>
        <v>23.97194456230341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421879</v>
      </c>
      <c r="M547" s="497">
        <f t="shared" si="241"/>
        <v>0</v>
      </c>
      <c r="N547" s="497">
        <f t="shared" si="241"/>
        <v>101132.6</v>
      </c>
      <c r="O547" s="497">
        <f t="shared" ca="1" si="237"/>
        <v>23.97194456230341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IFERROR(__xludf.DUMMYFUNCTION("IMPORTRANGE(""https://docs.google.com/spreadsheets/d/1QqKyyYR6Q21VydFLVH3TRQUabQu_ym0Zz7PgGX0-kHA/edit?usp=sharing"",""แผน!HB43"")"),421879)</f>
        <v>421879</v>
      </c>
      <c r="M549" s="93">
        <v>0</v>
      </c>
      <c r="N549" s="93">
        <f>N550+N551+N552+N553+N554</f>
        <v>101132.6</v>
      </c>
      <c r="O549" s="93">
        <f t="shared" ca="1" si="237"/>
        <v>23.97194456230341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38567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62565.599999999999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87155</v>
      </c>
      <c r="J559" s="702">
        <f t="shared" si="245"/>
        <v>85691.12000000001</v>
      </c>
      <c r="K559" s="671">
        <f t="shared" ref="K559:K561" ca="1" si="246">IF(I559&gt;0,J559*100/I559,0)</f>
        <v>98.320371751477268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87155.307499999995</v>
      </c>
      <c r="K560" s="411">
        <f t="shared" ca="1" si="246"/>
        <v>100.00035281968906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IFERROR(__xludf.DUMMYFUNCTION("IMPORTRANGE(""https://docs.google.com/spreadsheets/d/1QqKyyYR6Q21VydFLVH3TRQUabQu_ym0Zz7PgGX0-kHA/edit?usp=sharing"",""แผน!HG43"")"),9250)</f>
        <v>9250</v>
      </c>
      <c r="J561" s="193">
        <f t="shared" si="247"/>
        <v>9250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77489.794999999998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8915.3225000000002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750.19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5">
        <f t="shared" ref="J568:J569" si="248">J570+J572+J574</f>
        <v>85691.12000000001</v>
      </c>
      <c r="K568" s="411">
        <f t="shared" ref="K568:K569" ca="1" si="249">IF(I568&gt;0,J568*100/I568,0)</f>
        <v>98.320371751477268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IFERROR(__xludf.DUMMYFUNCTION("IMPORTRANGE(""https://docs.google.com/spreadsheets/d/1QqKyyYR6Q21VydFLVH3TRQUabQu_ym0Zz7PgGX0-kHA/edit?usp=sharing"",""แผน!HG43"")"),9250)</f>
        <v>9250</v>
      </c>
      <c r="J569" s="675">
        <f t="shared" si="248"/>
        <v>9143</v>
      </c>
      <c r="K569" s="411">
        <f t="shared" ca="1" si="249"/>
        <v>98.843243243243236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77114.892500000002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8441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1821.4224999999999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219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5">
        <f t="shared" ref="J576:J577" si="250">J578+J580+J582+J588+J590</f>
        <v>85691.12000000001</v>
      </c>
      <c r="K576" s="411">
        <f t="shared" ref="K576:K577" ca="1" si="251">IF(I576&gt;0,J576*100/I576,0)</f>
        <v>98.320371751477268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IFERROR(__xludf.DUMMYFUNCTION("IMPORTRANGE(""https://docs.google.com/spreadsheets/d/1QqKyyYR6Q21VydFLVH3TRQUabQu_ym0Zz7PgGX0-kHA/edit?usp=sharing"",""แผน!HG43"")"),9250)</f>
        <v>9250</v>
      </c>
      <c r="J577" s="675">
        <f t="shared" si="250"/>
        <v>9143</v>
      </c>
      <c r="K577" s="411">
        <f t="shared" ca="1" si="251"/>
        <v>98.843243243243236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77114.892500000002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8441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1821.4224999999999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219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1798.905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218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705.7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IFERROR(__xludf.DUMMYFUNCTION("IMPORTRANGE(""https://docs.google.com/spreadsheets/d/1QqKyyYR6Q21VydFLVH3TRQUabQu_ym0Zz7PgGX0-kHA/edit?usp=sharing"",""แผน!HL43"")"),465)</f>
        <v>465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IFERROR(__xludf.DUMMYFUNCTION("IMPORTRANGE(""https://docs.google.com/spreadsheets/d/1QqKyyYR6Q21VydFLVH3TRQUabQu_ym0Zz7PgGX0-kHA/edit?usp=sharing"",""แผน!HK43"")"),37)</f>
        <v>37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250</v>
      </c>
      <c r="J628" s="735">
        <f t="shared" ca="1" si="262"/>
        <v>7</v>
      </c>
      <c r="K628" s="736">
        <f ca="1">IF(I628&gt;0,J628*100/I628,0)</f>
        <v>2.8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si="263"/>
        <v>0</v>
      </c>
      <c r="N629" s="195">
        <f t="shared" si="263"/>
        <v>109923.07</v>
      </c>
      <c r="O629" s="195">
        <f t="shared" ref="O629:O634" ca="1" si="264">IF(L629&gt;0,N629*100/L629,0)</f>
        <v>24.199337354702362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454240</v>
      </c>
      <c r="M631" s="93">
        <f t="shared" si="266"/>
        <v>0</v>
      </c>
      <c r="N631" s="93">
        <f t="shared" si="266"/>
        <v>109923.07</v>
      </c>
      <c r="O631" s="93">
        <f t="shared" ca="1" si="264"/>
        <v>24.199337354702362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si="267"/>
        <v>0</v>
      </c>
      <c r="N632" s="497">
        <f t="shared" si="267"/>
        <v>109923.07</v>
      </c>
      <c r="O632" s="497">
        <f t="shared" ca="1" si="264"/>
        <v>24.199337354702362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v>0</v>
      </c>
      <c r="N634" s="93">
        <f>N635+N636+N637+N638</f>
        <v>109923.07</v>
      </c>
      <c r="O634" s="93">
        <f t="shared" ca="1" si="264"/>
        <v>24.199337354702362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37701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72222.070000000007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IFERROR(__xludf.DUMMYFUNCTION("IMPORTRANGE(""https://docs.google.com/spreadsheets/d/1XWAQStnk-4SwqDmLtmXYiTMKHgktTP8We1SCoS47DrQ/edit?usp=sharing"",""จัดที่ดิน!AS43"")"),87)</f>
        <v>87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IFERROR(__xludf.DUMMYFUNCTION("IMPORTRANGE(""https://docs.google.com/spreadsheets/d/1XWAQStnk-4SwqDmLtmXYiTMKHgktTP8We1SCoS47DrQ/edit?usp=sharing"",""จัดที่ดิน!AT43"")"),40.9)</f>
        <v>40.9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IFERROR(__xludf.DUMMYFUNCTION("IMPORTRANGE(""https://docs.google.com/spreadsheets/d/1XWAQStnk-4SwqDmLtmXYiTMKHgktTP8We1SCoS47DrQ/edit?usp=sharing"",""จัดที่ดิน!AU43"")"),100)</f>
        <v>100</v>
      </c>
      <c r="K647" s="163">
        <f t="shared" ca="1" si="271"/>
        <v>40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IFERROR(__xludf.DUMMYFUNCTION("IMPORTRANGE(""https://docs.google.com/spreadsheets/d/1XWAQStnk-4SwqDmLtmXYiTMKHgktTP8We1SCoS47DrQ/edit?usp=sharing"",""จัดที่ดิน!AV43"")"),56.64)</f>
        <v>56.64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IFERROR(__xludf.DUMMYFUNCTION("IMPORTRANGE(""https://docs.google.com/spreadsheets/d/1XWAQStnk-4SwqDmLtmXYiTMKHgktTP8We1SCoS47DrQ/edit?usp=sharing"",""จัดที่ดิน!AW43"")"),92)</f>
        <v>92</v>
      </c>
      <c r="K649" s="163">
        <f t="shared" ca="1" si="271"/>
        <v>36.799999999999997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IFERROR(__xludf.DUMMYFUNCTION("IMPORTRANGE(""https://docs.google.com/spreadsheets/d/1XWAQStnk-4SwqDmLtmXYiTMKHgktTP8We1SCoS47DrQ/edit?usp=sharing"",""จัดที่ดิน!AX43"")"),52.99)</f>
        <v>52.99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IFERROR(__xludf.DUMMYFUNCTION("IMPORTRANGE(""https://docs.google.com/spreadsheets/d/1XWAQStnk-4SwqDmLtmXYiTMKHgktTP8We1SCoS47DrQ/edit?usp=sharing"",""จัดที่ดิน!AY43"")"),7)</f>
        <v>7</v>
      </c>
      <c r="K651" s="163">
        <f t="shared" ca="1" si="271"/>
        <v>2.8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IFERROR(__xludf.DUMMYFUNCTION("IMPORTRANGE(""https://docs.google.com/spreadsheets/d/1XWAQStnk-4SwqDmLtmXYiTMKHgktTP8We1SCoS47DrQ/edit?usp=sharing"",""จัดที่ดิน!AZ43"")"),4)</f>
        <v>4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si="273"/>
        <v>0</v>
      </c>
      <c r="N655" s="195">
        <f t="shared" si="273"/>
        <v>2860</v>
      </c>
      <c r="O655" s="195">
        <f t="shared" ref="O655:O660" ca="1" si="274">IF(L655&gt;0,N655*100/L655,0)</f>
        <v>20.428571428571427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14000</v>
      </c>
      <c r="M657" s="93">
        <f t="shared" si="276"/>
        <v>0</v>
      </c>
      <c r="N657" s="93">
        <f t="shared" si="276"/>
        <v>2860</v>
      </c>
      <c r="O657" s="93">
        <f t="shared" ca="1" si="274"/>
        <v>20.428571428571427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si="277"/>
        <v>0</v>
      </c>
      <c r="N658" s="497">
        <f t="shared" si="277"/>
        <v>2860</v>
      </c>
      <c r="O658" s="497">
        <f t="shared" ca="1" si="274"/>
        <v>20.428571428571427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v>0</v>
      </c>
      <c r="N660" s="93">
        <f>N661+N662+N663+N664</f>
        <v>2860</v>
      </c>
      <c r="O660" s="93">
        <f t="shared" ca="1" si="274"/>
        <v>20.428571428571427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2860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IFERROR(__xludf.DUMMYFUNCTION("IMPORTRANGE(""https://docs.google.com/spreadsheets/d/1QqKyyYR6Q21VydFLVH3TRQUabQu_ym0Zz7PgGX0-kHA/edit?usp=sharing"",""แผน!IA43"")"),100)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IFERROR(__xludf.DUMMYFUNCTION("IMPORTRANGE(""https://docs.google.com/spreadsheets/d/1QqKyyYR6Q21VydFLVH3TRQUabQu_ym0Zz7PgGX0-kHA/edit?usp=sharing"",""แผน!IB43"")"),0)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1480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IFERROR(__xludf.DUMMYFUNCTION("IMPORTRANGE(""https://docs.google.com/spreadsheets/d/1QqKyyYR6Q21VydFLVH3TRQUabQu_ym0Zz7PgGX0-kHA/edit?usp=sharing"",""แผน!IE43"")"),0)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IFERROR(__xludf.DUMMYFUNCTION("IMPORTRANGE(""https://docs.google.com/spreadsheets/d/1QqKyyYR6Q21VydFLVH3TRQUabQu_ym0Zz7PgGX0-kHA/edit?usp=sharing"",""แผน!IH43"")"),12)</f>
        <v>12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IFERROR(__xludf.DUMMYFUNCTION("IMPORTRANGE(""https://docs.google.com/spreadsheets/d/1QqKyyYR6Q21VydFLVH3TRQUabQu_ym0Zz7PgGX0-kHA/edit?usp=sharing"",""แผน!IJ43"")"),2)</f>
        <v>2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IFERROR(__xludf.DUMMYFUNCTION("IMPORTRANGE(""https://docs.google.com/spreadsheets/d/1QqKyyYR6Q21VydFLVH3TRQUabQu_ym0Zz7PgGX0-kHA/edit?usp=sharing"",""แผน!IK43"")"),12)</f>
        <v>12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IFERROR(__xludf.DUMMYFUNCTION("IMPORTRANGE(""https://docs.google.com/spreadsheets/d/1QqKyyYR6Q21VydFLVH3TRQUabQu_ym0Zz7PgGX0-kHA/edit?usp=sharing"",""แผน!IP43"")"),0)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5000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327200</v>
      </c>
      <c r="M786" s="195">
        <f t="shared" si="319"/>
        <v>0</v>
      </c>
      <c r="N786" s="195">
        <f t="shared" si="319"/>
        <v>50753</v>
      </c>
      <c r="O786" s="195">
        <f t="shared" ref="O786:O791" ca="1" si="320">IF(L786&gt;0,N786*100/L786,0)</f>
        <v>15.511308068459657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327200</v>
      </c>
      <c r="M788" s="93">
        <f t="shared" si="322"/>
        <v>0</v>
      </c>
      <c r="N788" s="93">
        <f t="shared" si="322"/>
        <v>50753</v>
      </c>
      <c r="O788" s="93">
        <f t="shared" ca="1" si="320"/>
        <v>15.511308068459657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327200</v>
      </c>
      <c r="M789" s="497">
        <f t="shared" si="323"/>
        <v>0</v>
      </c>
      <c r="N789" s="497">
        <f t="shared" si="323"/>
        <v>50753</v>
      </c>
      <c r="O789" s="497">
        <f t="shared" ca="1" si="320"/>
        <v>15.511308068459657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v>0</v>
      </c>
      <c r="N791" s="93">
        <f>N792+N793+N794+N795</f>
        <v>50753</v>
      </c>
      <c r="O791" s="93">
        <f t="shared" ca="1" si="320"/>
        <v>15.511308068459657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46638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v>4115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IFERROR(__xludf.DUMMYFUNCTION("IMPORTRANGE(""https://docs.google.com/spreadsheets/d/1MaWodYyGHDf7siQLGxnXhG4mBNTNIuy296niS2xXulU/edit?usp=sharing"",""RTK!H43"")"),0)</f>
        <v>0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IFERROR(__xludf.DUMMYFUNCTION("IMPORTRANGE(""https://docs.google.com/spreadsheets/d/1MaWodYyGHDf7siQLGxnXhG4mBNTNIuy296niS2xXulU/edit?usp=sharing"",""RTK!G43"")"),5000)</f>
        <v>5000</v>
      </c>
      <c r="J801" s="816">
        <f ca="1">IFERROR(__xludf.DUMMYFUNCTION("IMPORTRANGE(""https://docs.google.com/spreadsheets/d/1MaWodYyGHDf7siQLGxnXhG4mBNTNIuy296niS2xXulU/edit?usp=sharing"",""RTK!I43"")"),0)</f>
        <v>0</v>
      </c>
      <c r="K801" s="817">
        <f ca="1">IF(I801&gt;0,J801*100/I801,0)</f>
        <v>0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IFERROR(__xludf.DUMMYFUNCTION("IMPORTRANGE(""https://docs.google.com/spreadsheets/d/1MaWodYyGHDf7siQLGxnXhG4mBNTNIuy296niS2xXulU/edit?usp=sharing"",""RTK!L43"")"),0)</f>
        <v>0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814" t="s">
        <v>46</v>
      </c>
      <c r="I803" s="815">
        <f ca="1">IFERROR(__xludf.DUMMYFUNCTION("IMPORTRANGE(""https://docs.google.com/spreadsheets/d/1MaWodYyGHDf7siQLGxnXhG4mBNTNIuy296niS2xXulU/edit?usp=sharing"",""RTK!K43"")"),0)</f>
        <v>0</v>
      </c>
      <c r="J803" s="816">
        <f ca="1">IFERROR(__xludf.DUMMYFUNCTION("IMPORTRANGE(""https://docs.google.com/spreadsheets/d/1MaWodYyGHDf7siQLGxnXhG4mBNTNIuy296niS2xXulU/edit?usp=sharing"",""RTK!M43"")"),0)</f>
        <v>0</v>
      </c>
      <c r="K803" s="81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IFERROR(__xludf.DUMMYFUNCTION("IMPORTRANGE(""https://docs.google.com/spreadsheets/d/19vJNZY_5yjcGF2XGBMNZRCAIB0Kwfpjp8YEOfu-bneM/edit?usp=sharing"",""งานกองทุน!F43"")"),3600000)</f>
        <v>3600000</v>
      </c>
      <c r="K821" s="497">
        <f t="shared" ref="K821:K828" ca="1" si="336">IF(I821&gt;0,J821*100/I821,0)</f>
        <v>25.3063292137399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IFERROR(__xludf.DUMMYFUNCTION("IMPORTRANGE(""https://docs.google.com/spreadsheets/d/19vJNZY_5yjcGF2XGBMNZRCAIB0Kwfpjp8YEOfu-bneM/edit?usp=sharing"",""งานกองทุน!E43"")"),72)</f>
        <v>72</v>
      </c>
      <c r="K822" s="497">
        <f t="shared" ca="1" si="336"/>
        <v>24.242424242424242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IFERROR(__xludf.DUMMYFUNCTION("IMPORTRANGE(""https://docs.google.com/spreadsheets/d/19vJNZY_5yjcGF2XGBMNZRCAIB0Kwfpjp8YEOfu-bneM/edit?usp=sharing"",""งานกองทุน!K43"")"),707023.32)</f>
        <v>707023.32</v>
      </c>
      <c r="K823" s="497">
        <f t="shared" ca="1" si="336"/>
        <v>4.9297789744094196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IFERROR(__xludf.DUMMYFUNCTION("IMPORTRANGE(""https://docs.google.com/spreadsheets/d/19vJNZY_5yjcGF2XGBMNZRCAIB0Kwfpjp8YEOfu-bneM/edit?usp=sharing"",""งานกองทุน!J43"")"),128)</f>
        <v>128</v>
      </c>
      <c r="K824" s="497">
        <f t="shared" ca="1" si="336"/>
        <v>31.44963144963145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IFERROR(__xludf.DUMMYFUNCTION("IMPORTRANGE(""https://docs.google.com/spreadsheets/d/19vJNZY_5yjcGF2XGBMNZRCAIB0Kwfpjp8YEOfu-bneM/edit?usp=sharing"",""งานกองทุน!P43"")"),690.75)</f>
        <v>690.75</v>
      </c>
      <c r="K825" s="497">
        <f t="shared" ca="1" si="336"/>
        <v>10.18918021905078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IFERROR(__xludf.DUMMYFUNCTION("IMPORTRANGE(""https://docs.google.com/spreadsheets/d/19vJNZY_5yjcGF2XGBMNZRCAIB0Kwfpjp8YEOfu-bneM/edit?usp=sharing"",""งานกองทุน!O43"")"),1)</f>
        <v>1</v>
      </c>
      <c r="K826" s="497">
        <f t="shared" ca="1" si="336"/>
        <v>25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IFERROR(__xludf.DUMMYFUNCTION("IMPORTRANGE(""https://docs.google.com/spreadsheets/d/19vJNZY_5yjcGF2XGBMNZRCAIB0Kwfpjp8YEOfu-bneM/edit?usp=sharing"",""งานกองทุน!U43"")"),3100000)</f>
        <v>3100000</v>
      </c>
      <c r="K827" s="497">
        <f t="shared" ca="1" si="336"/>
        <v>23.08265078183172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IFERROR(__xludf.DUMMYFUNCTION("IMPORTRANGE(""https://docs.google.com/spreadsheets/d/19vJNZY_5yjcGF2XGBMNZRCAIB0Kwfpjp8YEOfu-bneM/edit?usp=sharing"",""งานกองทุน!R43"")"),537)</f>
        <v>537</v>
      </c>
      <c r="J828" s="500">
        <f ca="1">IFERROR(__xludf.DUMMYFUNCTION("IMPORTRANGE(""https://docs.google.com/spreadsheets/d/19vJNZY_5yjcGF2XGBMNZRCAIB0Kwfpjp8YEOfu-bneM/edit?usp=sharing"",""งานกองทุน!T43"")"),62)</f>
        <v>62</v>
      </c>
      <c r="K828" s="501">
        <f t="shared" ca="1" si="336"/>
        <v>11.54562383612663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3D826-B5C3-4E89-BDB8-ECDFCF040F36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2" width="23" bestFit="1" customWidth="1"/>
    <col min="13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349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6822893.1200000001</v>
      </c>
      <c r="N8" s="22">
        <f t="shared" ca="1" si="0"/>
        <v>5329797.29</v>
      </c>
      <c r="O8" s="22">
        <f t="shared" ref="O8:O16" ca="1" si="1">IF(L8&gt;0,N8*100/L8,0)</f>
        <v>46.025271252869352</v>
      </c>
      <c r="P8" s="22">
        <f t="shared" ref="P8:P16" ca="1" si="2">IF(M8&gt;0,N8*100/M8,0)</f>
        <v>78.116382541252534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6822893.1200000001</v>
      </c>
      <c r="N10" s="30">
        <f t="shared" ca="1" si="3"/>
        <v>5329797.29</v>
      </c>
      <c r="O10" s="30">
        <f t="shared" ca="1" si="1"/>
        <v>46.025271252869352</v>
      </c>
      <c r="P10" s="30">
        <f t="shared" ca="1" si="2"/>
        <v>78.116382541252534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7439754</v>
      </c>
      <c r="M11" s="497">
        <f t="shared" ca="1" si="4"/>
        <v>3545593.12</v>
      </c>
      <c r="N11" s="497">
        <f t="shared" ca="1" si="4"/>
        <v>2274102.48</v>
      </c>
      <c r="O11" s="497">
        <f t="shared" ca="1" si="1"/>
        <v>30.566904228284969</v>
      </c>
      <c r="P11" s="497">
        <f t="shared" ca="1" si="2"/>
        <v>64.138845125015351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7439754</v>
      </c>
      <c r="M13" s="93">
        <f t="shared" ca="1" si="5"/>
        <v>3545593.12</v>
      </c>
      <c r="N13" s="93">
        <f t="shared" ca="1" si="5"/>
        <v>2274102.48</v>
      </c>
      <c r="O13" s="93">
        <f t="shared" ca="1" si="1"/>
        <v>30.566904228284969</v>
      </c>
      <c r="P13" s="93">
        <f t="shared" ca="1" si="2"/>
        <v>64.138845125015351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3277300</v>
      </c>
      <c r="N14" s="497">
        <f t="shared" ca="1" si="6"/>
        <v>3055694.81</v>
      </c>
      <c r="O14" s="497">
        <f t="shared" ca="1" si="1"/>
        <v>73.801922761085891</v>
      </c>
      <c r="P14" s="497">
        <f t="shared" ca="1" si="2"/>
        <v>93.23817807341409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3277300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93.23817807341409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6822893.1200000001</v>
      </c>
      <c r="N18" s="22">
        <f t="shared" ca="1" si="8"/>
        <v>5010367.29</v>
      </c>
      <c r="O18" s="22">
        <f t="shared" ref="O18:O26" ca="1" si="9">IF(L18&gt;0,N18*100/L18,0)</f>
        <v>54.082623447491834</v>
      </c>
      <c r="P18" s="22">
        <f t="shared" ref="P18:P26" ca="1" si="10">IF(M18&gt;0,N18*100/M18,0)</f>
        <v>73.434644246633013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6822893.1200000001</v>
      </c>
      <c r="N20" s="30">
        <f t="shared" ca="1" si="11"/>
        <v>5010367.29</v>
      </c>
      <c r="O20" s="30">
        <f t="shared" ca="1" si="9"/>
        <v>54.082623447491834</v>
      </c>
      <c r="P20" s="30">
        <f t="shared" ca="1" si="10"/>
        <v>73.434644246633013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3545593.12</v>
      </c>
      <c r="N21" s="497">
        <f t="shared" ca="1" si="12"/>
        <v>1954672.48</v>
      </c>
      <c r="O21" s="497">
        <f t="shared" ca="1" si="9"/>
        <v>38.148265290210567</v>
      </c>
      <c r="P21" s="497">
        <f t="shared" ca="1" si="10"/>
        <v>55.129633148656382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5123883</v>
      </c>
      <c r="M23" s="93">
        <f t="shared" ca="1" si="13"/>
        <v>3545593.12</v>
      </c>
      <c r="N23" s="93">
        <f t="shared" ca="1" si="13"/>
        <v>1954672.48</v>
      </c>
      <c r="O23" s="93">
        <f t="shared" ca="1" si="9"/>
        <v>38.148265290210567</v>
      </c>
      <c r="P23" s="93">
        <f t="shared" ca="1" si="10"/>
        <v>55.129633148656382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3277300</v>
      </c>
      <c r="N24" s="497">
        <f t="shared" ca="1" si="14"/>
        <v>3055694.81</v>
      </c>
      <c r="O24" s="497">
        <f t="shared" ca="1" si="9"/>
        <v>73.801922761085891</v>
      </c>
      <c r="P24" s="497">
        <f t="shared" ca="1" si="10"/>
        <v>93.23817807341409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3277300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93.23817807341409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si="16"/>
        <v>0</v>
      </c>
      <c r="N28" s="22">
        <f t="shared" si="16"/>
        <v>319430</v>
      </c>
      <c r="O28" s="22">
        <f t="shared" ref="O28:O37" ca="1" si="17">IF(L28&gt;0,N28*100/L28,0)</f>
        <v>13.79308260261474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si="19"/>
        <v>0</v>
      </c>
      <c r="N30" s="30">
        <f t="shared" si="19"/>
        <v>319430</v>
      </c>
      <c r="O30" s="30">
        <f t="shared" ca="1" si="17"/>
        <v>13.79308260261474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2315871</v>
      </c>
      <c r="M31" s="497">
        <f t="shared" si="20"/>
        <v>0</v>
      </c>
      <c r="N31" s="497">
        <f t="shared" si="20"/>
        <v>319430</v>
      </c>
      <c r="O31" s="497">
        <f t="shared" ca="1" si="17"/>
        <v>13.79308260261474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2315871</v>
      </c>
      <c r="M33" s="93">
        <f t="shared" si="21"/>
        <v>0</v>
      </c>
      <c r="N33" s="93">
        <f t="shared" si="21"/>
        <v>319430</v>
      </c>
      <c r="O33" s="93">
        <f t="shared" ca="1" si="17"/>
        <v>13.79308260261474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9264283</v>
      </c>
      <c r="M37" s="843">
        <f t="shared" ca="1" si="24"/>
        <v>6822893.1200000001</v>
      </c>
      <c r="N37" s="843">
        <f t="shared" ca="1" si="24"/>
        <v>5010367.29</v>
      </c>
      <c r="O37" s="843">
        <f t="shared" ca="1" si="17"/>
        <v>54.082623447491834</v>
      </c>
      <c r="P37" s="843">
        <f t="shared" ca="1" si="18"/>
        <v>73.434644246633013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717448.12</v>
      </c>
      <c r="N41" s="85">
        <f t="shared" ca="1" si="25"/>
        <v>370041.66</v>
      </c>
      <c r="O41" s="85">
        <f t="shared" ref="O41:O49" ca="1" si="26">IF(L41&gt;0,N41*100/L41,0)</f>
        <v>52.541241651142712</v>
      </c>
      <c r="P41" s="85">
        <f t="shared" ref="P41:P49" ca="1" si="27">IF(M41&gt;0,N41*100/M41,0)</f>
        <v>51.577479915899701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717448.12</v>
      </c>
      <c r="N43" s="92">
        <f t="shared" ca="1" si="28"/>
        <v>370041.66</v>
      </c>
      <c r="O43" s="92">
        <f t="shared" ca="1" si="26"/>
        <v>52.541241651142712</v>
      </c>
      <c r="P43" s="92">
        <f t="shared" ca="1" si="27"/>
        <v>51.577479915899701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717448.12</v>
      </c>
      <c r="N44" s="497">
        <f t="shared" ca="1" si="29"/>
        <v>370041.66</v>
      </c>
      <c r="O44" s="497">
        <f t="shared" ca="1" si="26"/>
        <v>52.541241651142712</v>
      </c>
      <c r="P44" s="497">
        <f t="shared" ca="1" si="27"/>
        <v>51.577479915899701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IFERROR(__xludf.DUMMYFUNCTION("IMPORTRANGE(""https://docs.google.com/spreadsheets/d/1MeEWN-I1oV_STSDYn1IFDPWt_1FKiwhDph83XaGc0o0/edit?usp=sharing"",""งบพรบ!R44"")"),717448.12)</f>
        <v>717448.12</v>
      </c>
      <c r="N46" s="93">
        <f ca="1">IFERROR(__xludf.DUMMYFUNCTION("IMPORTRANGE(""https://docs.google.com/spreadsheets/d/1MeEWN-I1oV_STSDYn1IFDPWt_1FKiwhDph83XaGc0o0/edit?usp=sharing"",""งบพรบ!T44"")"),370041.66)</f>
        <v>370041.66</v>
      </c>
      <c r="O46" s="93">
        <f t="shared" ca="1" si="26"/>
        <v>52.541241651142712</v>
      </c>
      <c r="P46" s="93">
        <f t="shared" ca="1" si="27"/>
        <v>51.577479915899701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3778150</v>
      </c>
      <c r="N53" s="116">
        <f t="shared" ca="1" si="31"/>
        <v>3350808.5</v>
      </c>
      <c r="O53" s="116">
        <f t="shared" ref="O53:O61" ca="1" si="32">IF(L53&gt;0,N53*100/L53,0)</f>
        <v>69.097383181424505</v>
      </c>
      <c r="P53" s="116">
        <f t="shared" ref="P53:P61" ca="1" si="33">IF(M53&gt;0,N53*100/M53,0)</f>
        <v>88.689133570662889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3778150</v>
      </c>
      <c r="N55" s="123">
        <f t="shared" ca="1" si="34"/>
        <v>3350808.5</v>
      </c>
      <c r="O55" s="123">
        <f t="shared" ca="1" si="32"/>
        <v>69.097383181424505</v>
      </c>
      <c r="P55" s="123">
        <f t="shared" ca="1" si="33"/>
        <v>88.689133570662889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626550</v>
      </c>
      <c r="N56" s="497">
        <f t="shared" ca="1" si="35"/>
        <v>420813.69</v>
      </c>
      <c r="O56" s="497">
        <f t="shared" ca="1" si="32"/>
        <v>50.372718458223602</v>
      </c>
      <c r="P56" s="497">
        <f t="shared" ca="1" si="33"/>
        <v>67.163624610964803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IFERROR(__xludf.DUMMYFUNCTION("IMPORTRANGE(""https://docs.google.com/spreadsheets/d/1MeEWN-I1oV_STSDYn1IFDPWt_1FKiwhDph83XaGc0o0/edit?usp=sharing"",""งบพรบ!AB44"")"),626550)</f>
        <v>626550</v>
      </c>
      <c r="N58" s="93">
        <f ca="1">IFERROR(__xludf.DUMMYFUNCTION("IMPORTRANGE(""https://docs.google.com/spreadsheets/d/1MeEWN-I1oV_STSDYn1IFDPWt_1FKiwhDph83XaGc0o0/edit?usp=sharing"",""งบพรบ!AD44"")"),420813.69)</f>
        <v>420813.69</v>
      </c>
      <c r="O58" s="93">
        <f t="shared" ca="1" si="32"/>
        <v>50.372718458223602</v>
      </c>
      <c r="P58" s="93">
        <f t="shared" ca="1" si="33"/>
        <v>67.163624610964803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3151600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92.968486165757071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IFERROR(__xludf.DUMMYFUNCTION("IMPORTRANGE(""https://docs.google.com/spreadsheets/d/1MeEWN-I1oV_STSDYn1IFDPWt_1FKiwhDph83XaGc0o0/edit?usp=sharing"",""งบพรบ!AC44"")"),3151600)</f>
        <v>3151600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92.968486165757071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532050</v>
      </c>
      <c r="N66" s="155">
        <f t="shared" ca="1" si="39"/>
        <v>418711.93</v>
      </c>
      <c r="O66" s="155">
        <f t="shared" ref="O66:O74" ca="1" si="40">IF(L66&gt;0,N66*100/L66,0)</f>
        <v>44.672135922330099</v>
      </c>
      <c r="P66" s="155">
        <f t="shared" ref="P66:P74" ca="1" si="41">IF(M66&gt;0,N66*100/M66,0)</f>
        <v>78.697853585189364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937300</v>
      </c>
      <c r="M68" s="93">
        <f t="shared" ca="1" si="42"/>
        <v>532050</v>
      </c>
      <c r="N68" s="93">
        <f t="shared" ca="1" si="42"/>
        <v>418711.93</v>
      </c>
      <c r="O68" s="93">
        <f t="shared" ca="1" si="40"/>
        <v>44.672135922330099</v>
      </c>
      <c r="P68" s="93">
        <f t="shared" ca="1" si="41"/>
        <v>78.697853585189364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532050</v>
      </c>
      <c r="N69" s="497">
        <f t="shared" ca="1" si="43"/>
        <v>418711.93</v>
      </c>
      <c r="O69" s="497">
        <f t="shared" ca="1" si="40"/>
        <v>44.672135922330099</v>
      </c>
      <c r="P69" s="497">
        <f t="shared" ca="1" si="41"/>
        <v>78.697853585189364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IFERROR(__xludf.DUMMYFUNCTION("IMPORTRANGE(""https://docs.google.com/spreadsheets/d/1MeEWN-I1oV_STSDYn1IFDPWt_1FKiwhDph83XaGc0o0/edit?usp=sharing"",""งบพรบ!AL44"")"),532050)</f>
        <v>532050</v>
      </c>
      <c r="N71" s="93">
        <f ca="1">IFERROR(__xludf.DUMMYFUNCTION("IMPORTRANGE(""https://docs.google.com/spreadsheets/d/1MeEWN-I1oV_STSDYn1IFDPWt_1FKiwhDph83XaGc0o0/edit?usp=sharing"",""งบพรบ!AN44"")"),418711.93)</f>
        <v>418711.93</v>
      </c>
      <c r="O71" s="93">
        <f t="shared" ca="1" si="40"/>
        <v>44.672135922330099</v>
      </c>
      <c r="P71" s="93">
        <f t="shared" ca="1" si="41"/>
        <v>78.697853585189364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34360</v>
      </c>
      <c r="N88" s="155">
        <f t="shared" ca="1" si="49"/>
        <v>32770</v>
      </c>
      <c r="O88" s="155">
        <f t="shared" ref="O88:O96" ca="1" si="50">IF(L88&gt;0,N88*100/L88,0)</f>
        <v>84.328358208955223</v>
      </c>
      <c r="P88" s="155">
        <f t="shared" ref="P88:P96" ca="1" si="51">IF(M88&gt;0,N88*100/M88,0)</f>
        <v>95.372526193247964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38860</v>
      </c>
      <c r="M90" s="93">
        <f t="shared" ca="1" si="52"/>
        <v>34360</v>
      </c>
      <c r="N90" s="93">
        <f t="shared" ca="1" si="52"/>
        <v>32770</v>
      </c>
      <c r="O90" s="93">
        <f t="shared" ca="1" si="50"/>
        <v>84.328358208955223</v>
      </c>
      <c r="P90" s="93">
        <f t="shared" ca="1" si="51"/>
        <v>95.372526193247964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34360</v>
      </c>
      <c r="N91" s="497">
        <f t="shared" ca="1" si="53"/>
        <v>32770</v>
      </c>
      <c r="O91" s="497">
        <f t="shared" ca="1" si="50"/>
        <v>84.328358208955223</v>
      </c>
      <c r="P91" s="497">
        <f t="shared" ca="1" si="51"/>
        <v>95.372526193247964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IFERROR(__xludf.DUMMYFUNCTION("IMPORTRANGE(""https://docs.google.com/spreadsheets/d/1MeEWN-I1oV_STSDYn1IFDPWt_1FKiwhDph83XaGc0o0/edit?usp=sharing"",""งบพรบ!AV44"")"),34360)</f>
        <v>34360</v>
      </c>
      <c r="N93" s="93">
        <f ca="1">IFERROR(__xludf.DUMMYFUNCTION("IMPORTRANGE(""https://docs.google.com/spreadsheets/d/1MeEWN-I1oV_STSDYn1IFDPWt_1FKiwhDph83XaGc0o0/edit?usp=sharing"",""งบพรบ!AX44"")"),32770)</f>
        <v>32770</v>
      </c>
      <c r="O93" s="93">
        <f t="shared" ca="1" si="50"/>
        <v>84.328358208955223</v>
      </c>
      <c r="P93" s="93">
        <f t="shared" ca="1" si="51"/>
        <v>95.372526193247964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/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8170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8170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8170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IFERROR(__xludf.DUMMYFUNCTION("IMPORTRANGE(""https://docs.google.com/spreadsheets/d/1MeEWN-I1oV_STSDYn1IFDPWt_1FKiwhDph83XaGc0o0/edit?usp=sharing"",""งบพรบ!BZ44"")"),8170)</f>
        <v>8170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73500</v>
      </c>
      <c r="N181" s="155">
        <f t="shared" ca="1" si="92"/>
        <v>11202</v>
      </c>
      <c r="O181" s="155">
        <f t="shared" ref="O181:O189" ca="1" si="93">IF(L181&gt;0,N181*100/L181,0)</f>
        <v>14.270063694267517</v>
      </c>
      <c r="P181" s="155">
        <f t="shared" ref="P181:P189" ca="1" si="94">IF(M181&gt;0,N181*100/M181,0)</f>
        <v>15.240816326530613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78500</v>
      </c>
      <c r="M183" s="93">
        <f t="shared" ca="1" si="95"/>
        <v>73500</v>
      </c>
      <c r="N183" s="93">
        <f t="shared" ca="1" si="95"/>
        <v>11202</v>
      </c>
      <c r="O183" s="93">
        <f t="shared" ca="1" si="93"/>
        <v>14.270063694267517</v>
      </c>
      <c r="P183" s="93">
        <f t="shared" ca="1" si="94"/>
        <v>15.240816326530613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73500</v>
      </c>
      <c r="N184" s="497">
        <f t="shared" ca="1" si="96"/>
        <v>11202</v>
      </c>
      <c r="O184" s="497">
        <f t="shared" ca="1" si="93"/>
        <v>14.270063694267517</v>
      </c>
      <c r="P184" s="497">
        <f t="shared" ca="1" si="94"/>
        <v>15.240816326530613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IFERROR(__xludf.DUMMYFUNCTION("IMPORTRANGE(""https://docs.google.com/spreadsheets/d/1MeEWN-I1oV_STSDYn1IFDPWt_1FKiwhDph83XaGc0o0/edit?usp=sharing"",""งบพรบ!CT44"")"),73500)</f>
        <v>73500</v>
      </c>
      <c r="N186" s="93">
        <f ca="1">IFERROR(__xludf.DUMMYFUNCTION("IMPORTRANGE(""https://docs.google.com/spreadsheets/d/1MeEWN-I1oV_STSDYn1IFDPWt_1FKiwhDph83XaGc0o0/edit?usp=sharing"",""งบพรบ!CV44"")"),11202)</f>
        <v>11202</v>
      </c>
      <c r="O186" s="93">
        <f t="shared" ca="1" si="93"/>
        <v>14.270063694267517</v>
      </c>
      <c r="P186" s="93">
        <f t="shared" ca="1" si="94"/>
        <v>15.240816326530613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4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5930</v>
      </c>
      <c r="O209" s="155">
        <f ca="1">IF(L209&gt;0,N209*100/L209,0)</f>
        <v>42.357142857142854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4">
        <v>5930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22630</v>
      </c>
      <c r="O261" s="155">
        <f t="shared" ref="O261:O269" ca="1" si="117">IF(L261&gt;0,N261*100/L261,0)</f>
        <v>84.126394052044603</v>
      </c>
      <c r="P261" s="155">
        <f t="shared" ref="P261:P269" ca="1" si="118">IF(M261&gt;0,N261*100/M261,0)</f>
        <v>94.686192468619254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22630</v>
      </c>
      <c r="O263" s="93">
        <f t="shared" ca="1" si="117"/>
        <v>84.126394052044603</v>
      </c>
      <c r="P263" s="93">
        <f t="shared" ca="1" si="118"/>
        <v>94.686192468619254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22630</v>
      </c>
      <c r="O264" s="497">
        <f t="shared" ca="1" si="117"/>
        <v>84.126394052044603</v>
      </c>
      <c r="P264" s="497">
        <f t="shared" ca="1" si="118"/>
        <v>94.686192468619254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IFERROR(__xludf.DUMMYFUNCTION("IMPORTRANGE(""https://docs.google.com/spreadsheets/d/1MeEWN-I1oV_STSDYn1IFDPWt_1FKiwhDph83XaGc0o0/edit?usp=sharing"",""งบพรบ!DD44"")"),23900)</f>
        <v>23900</v>
      </c>
      <c r="N266" s="93">
        <f ca="1">IFERROR(__xludf.DUMMYFUNCTION("IMPORTRANGE(""https://docs.google.com/spreadsheets/d/1MeEWN-I1oV_STSDYn1IFDPWt_1FKiwhDph83XaGc0o0/edit?usp=sharing"",""งบพรบ!DF44"")"),22630)</f>
        <v>22630</v>
      </c>
      <c r="O266" s="93">
        <f t="shared" ca="1" si="117"/>
        <v>84.126394052044603</v>
      </c>
      <c r="P266" s="93">
        <f t="shared" ca="1" si="118"/>
        <v>94.686192468619254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12895.14</v>
      </c>
      <c r="O277" s="155">
        <f t="shared" ref="O277:O285" ca="1" si="126">IF(L277&gt;0,N277*100/L277,0)</f>
        <v>31.443891733723483</v>
      </c>
      <c r="P277" s="155">
        <f t="shared" ref="P277:P285" ca="1" si="127">IF(M277&gt;0,N277*100/M277,0)</f>
        <v>58.747790432801821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12895.14</v>
      </c>
      <c r="O279" s="93">
        <f t="shared" ca="1" si="126"/>
        <v>31.443891733723483</v>
      </c>
      <c r="P279" s="93">
        <f t="shared" ca="1" si="127"/>
        <v>58.747790432801821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12895.14</v>
      </c>
      <c r="O280" s="497">
        <f t="shared" ca="1" si="126"/>
        <v>31.443891733723483</v>
      </c>
      <c r="P280" s="497">
        <f t="shared" ca="1" si="127"/>
        <v>58.747790432801821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IFERROR(__xludf.DUMMYFUNCTION("IMPORTRANGE(""https://docs.google.com/spreadsheets/d/1MeEWN-I1oV_STSDYn1IFDPWt_1FKiwhDph83XaGc0o0/edit?usp=sharing"",""งบพรบ!DN44"")"),21950)</f>
        <v>21950</v>
      </c>
      <c r="N282" s="93">
        <f ca="1">IFERROR(__xludf.DUMMYFUNCTION("IMPORTRANGE(""https://docs.google.com/spreadsheets/d/1MeEWN-I1oV_STSDYn1IFDPWt_1FKiwhDph83XaGc0o0/edit?usp=sharing"",""งบพรบ!DP44"")"),12895.14)</f>
        <v>12895.14</v>
      </c>
      <c r="O282" s="93">
        <f t="shared" ca="1" si="126"/>
        <v>31.443891733723483</v>
      </c>
      <c r="P282" s="93">
        <f t="shared" ca="1" si="127"/>
        <v>58.747790432801821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IFERROR(__xludf.DUMMYFUNCTION("IMPORTRANGE(""https://docs.google.com/spreadsheets/d/1QqKyyYR6Q21VydFLVH3TRQUabQu_ym0Zz7PgGX0-kHA/edit?usp=sharing"",""แผน!EB44"")"),10)</f>
        <v>10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30880</v>
      </c>
      <c r="O298" s="155">
        <f t="shared" ref="O298:O306" ca="1" si="136">IF(L298&gt;0,N298*100/L298,0)</f>
        <v>37.475728155339809</v>
      </c>
      <c r="P298" s="155">
        <f t="shared" ref="P298:P306" ca="1" si="137">IF(M298&gt;0,N298*100/M298,0)</f>
        <v>62.866449511400653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30880</v>
      </c>
      <c r="O300" s="93">
        <f t="shared" ca="1" si="136"/>
        <v>37.475728155339809</v>
      </c>
      <c r="P300" s="93">
        <f t="shared" ca="1" si="137"/>
        <v>62.866449511400653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30880</v>
      </c>
      <c r="O301" s="497">
        <f t="shared" ca="1" si="136"/>
        <v>37.475728155339809</v>
      </c>
      <c r="P301" s="497">
        <f t="shared" ca="1" si="137"/>
        <v>62.866449511400653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IFERROR(__xludf.DUMMYFUNCTION("IMPORTRANGE(""https://docs.google.com/spreadsheets/d/1MeEWN-I1oV_STSDYn1IFDPWt_1FKiwhDph83XaGc0o0/edit?usp=sharing"",""งบพรบ!DX44"")"),49120)</f>
        <v>49120</v>
      </c>
      <c r="N303" s="93">
        <f ca="1">IFERROR(__xludf.DUMMYFUNCTION("IMPORTRANGE(""https://docs.google.com/spreadsheets/d/1MeEWN-I1oV_STSDYn1IFDPWt_1FKiwhDph83XaGc0o0/edit?usp=sharing"",""งบพรบ!DZ44"")"),30880)</f>
        <v>30880</v>
      </c>
      <c r="O303" s="93">
        <f t="shared" ca="1" si="136"/>
        <v>37.475728155339809</v>
      </c>
      <c r="P303" s="93">
        <f t="shared" ca="1" si="137"/>
        <v>62.866449511400653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4033</v>
      </c>
      <c r="K327" s="445">
        <f ca="1">IF(I327&gt;0,J327*100/I327,0)</f>
        <v>60.194029850746269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93000</v>
      </c>
      <c r="N328" s="155">
        <f t="shared" ca="1" si="149"/>
        <v>49721.82</v>
      </c>
      <c r="O328" s="155">
        <f t="shared" ref="O328:O336" ca="1" si="150">IF(L328&gt;0,N328*100/L328,0)</f>
        <v>26.73216129032258</v>
      </c>
      <c r="P328" s="155">
        <f t="shared" ref="P328:P336" ca="1" si="151">IF(M328&gt;0,N328*100/M328,0)</f>
        <v>53.46432258064516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186000</v>
      </c>
      <c r="M330" s="93">
        <f t="shared" ca="1" si="152"/>
        <v>93000</v>
      </c>
      <c r="N330" s="93">
        <f t="shared" ca="1" si="152"/>
        <v>49721.82</v>
      </c>
      <c r="O330" s="93">
        <f t="shared" ca="1" si="150"/>
        <v>26.73216129032258</v>
      </c>
      <c r="P330" s="93">
        <f t="shared" ca="1" si="151"/>
        <v>53.46432258064516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93000</v>
      </c>
      <c r="N331" s="497">
        <f t="shared" ca="1" si="153"/>
        <v>49721.82</v>
      </c>
      <c r="O331" s="497">
        <f t="shared" ca="1" si="150"/>
        <v>26.73216129032258</v>
      </c>
      <c r="P331" s="497">
        <f t="shared" ca="1" si="151"/>
        <v>53.46432258064516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IFERROR(__xludf.DUMMYFUNCTION("IMPORTRANGE(""https://docs.google.com/spreadsheets/d/1MeEWN-I1oV_STSDYn1IFDPWt_1FKiwhDph83XaGc0o0/edit?usp=sharing"",""งบพรบ!ER44"")"),93000)</f>
        <v>93000</v>
      </c>
      <c r="N333" s="93">
        <f ca="1">IFERROR(__xludf.DUMMYFUNCTION("IMPORTRANGE(""https://docs.google.com/spreadsheets/d/1MeEWN-I1oV_STSDYn1IFDPWt_1FKiwhDph83XaGc0o0/edit?usp=sharing"",""งบพรบ!ET44"")"),49721.82)</f>
        <v>49721.82</v>
      </c>
      <c r="O333" s="93">
        <f t="shared" ca="1" si="150"/>
        <v>26.73216129032258</v>
      </c>
      <c r="P333" s="93">
        <f t="shared" ca="1" si="151"/>
        <v>53.46432258064516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IFERROR(__xludf.DUMMYFUNCTION("IMPORTRANGE(""https://docs.google.com/spreadsheets/d/1MeEWN-I1oV_STSDYn1IFDPWt_1FKiwhDph83XaGc0o0/edit?usp=sharing"",""งบพรบ!ES44"")"),0)</f>
        <v>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IFERROR(__xludf.DUMMYFUNCTION("IMPORTRANGE(""https://docs.google.com/spreadsheets/d/1kVcqe37tkHyjCSG3S0O1AXqVkqjo8mSIZil3BcpIysc/edit?usp=sharing"",""ศูนย์!D44"")"),3570)</f>
        <v>3570</v>
      </c>
      <c r="K338" s="497">
        <f ca="1">IF(I338&gt;0,J338*100/I338,0)</f>
        <v>53.28358208955224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IFERROR(__xludf.DUMMYFUNCTION("IMPORTRANGE(""https://docs.google.com/spreadsheets/d/1kVcqe37tkHyjCSG3S0O1AXqVkqjo8mSIZil3BcpIysc/edit?usp=sharing"",""ศูนย์!E44"")"),4)</f>
        <v>4</v>
      </c>
      <c r="K340" s="497">
        <f ca="1">IF(I340&gt;0,J340*100/I340,0)</f>
        <v>44.444444444444443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IFERROR(__xludf.DUMMYFUNCTION("IMPORTRANGE(""https://docs.google.com/spreadsheets/d/1kVcqe37tkHyjCSG3S0O1AXqVkqjo8mSIZil3BcpIysc/edit?usp=sharing"",""ศูนย์!F44"")"),449)</f>
        <v>449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1469190</v>
      </c>
      <c r="N345" s="155">
        <f t="shared" ca="1" si="155"/>
        <v>680481.24</v>
      </c>
      <c r="O345" s="155">
        <f t="shared" ref="O345:O353" ca="1" si="156">IF(L345&gt;0,N345*100/L345,0)</f>
        <v>29.617432330679804</v>
      </c>
      <c r="P345" s="155">
        <f t="shared" ref="P345:P353" ca="1" si="157">IF(M345&gt;0,N345*100/M345,0)</f>
        <v>46.316762297592554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2297570</v>
      </c>
      <c r="M347" s="93">
        <f t="shared" ca="1" si="158"/>
        <v>1469190</v>
      </c>
      <c r="N347" s="93">
        <f t="shared" ca="1" si="158"/>
        <v>680481.24</v>
      </c>
      <c r="O347" s="93">
        <f t="shared" ca="1" si="156"/>
        <v>29.617432330679804</v>
      </c>
      <c r="P347" s="93">
        <f t="shared" ca="1" si="157"/>
        <v>46.316762297592554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1343490</v>
      </c>
      <c r="N348" s="497">
        <f t="shared" ca="1" si="159"/>
        <v>554781.24</v>
      </c>
      <c r="O348" s="497">
        <f t="shared" ca="1" si="156"/>
        <v>25.552178779183574</v>
      </c>
      <c r="P348" s="497">
        <f t="shared" ca="1" si="157"/>
        <v>41.294035683183353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IFERROR(__xludf.DUMMYFUNCTION("IMPORTRANGE(""https://docs.google.com/spreadsheets/d/1MeEWN-I1oV_STSDYn1IFDPWt_1FKiwhDph83XaGc0o0/edit?usp=sharing"",""งบพรบ!FB44"")"),1343490)</f>
        <v>1343490</v>
      </c>
      <c r="N350" s="93">
        <f ca="1">IFERROR(__xludf.DUMMYFUNCTION("IMPORTRANGE(""https://docs.google.com/spreadsheets/d/1MeEWN-I1oV_STSDYn1IFDPWt_1FKiwhDph83XaGc0o0/edit?usp=sharing"",""งบพรบ!FD44"")"),554781.24)</f>
        <v>554781.24</v>
      </c>
      <c r="O350" s="93">
        <f t="shared" ca="1" si="156"/>
        <v>25.552178779183574</v>
      </c>
      <c r="P350" s="93">
        <f t="shared" ca="1" si="157"/>
        <v>41.294035683183353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36</v>
      </c>
      <c r="K355" s="465">
        <f ca="1">IF(I355&gt;0,J355*100/I355,0)</f>
        <v>3.2374100719424459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IFERROR(__xludf.DUMMYFUNCTION("IMPORTRANGE(""https://docs.google.com/spreadsheets/d/1XWAQStnk-4SwqDmLtmXYiTMKHgktTP8We1SCoS47DrQ/edit?usp=sharing"",""จัดที่ดิน!W44"")"),342)</f>
        <v>342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IFERROR(__xludf.DUMMYFUNCTION("IMPORTRANGE(""https://docs.google.com/spreadsheets/d/1XWAQStnk-4SwqDmLtmXYiTMKHgktTP8We1SCoS47DrQ/edit?usp=sharing"",""จัดที่ดิน!X44"")"),1819.81)</f>
        <v>1819.81</v>
      </c>
      <c r="K359" s="497">
        <f t="shared" ca="1" si="161"/>
        <v>16.365197841726619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IFERROR(__xludf.DUMMYFUNCTION("IMPORTRANGE(""https://docs.google.com/spreadsheets/d/1XWAQStnk-4SwqDmLtmXYiTMKHgktTP8We1SCoS47DrQ/edit?usp=sharing"",""จัดที่ดิน!Y44"")"),299)</f>
        <v>299</v>
      </c>
      <c r="K360" s="497">
        <f t="shared" ca="1" si="161"/>
        <v>26.888489208633093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IFERROR(__xludf.DUMMYFUNCTION("IMPORTRANGE(""https://docs.google.com/spreadsheets/d/1XWAQStnk-4SwqDmLtmXYiTMKHgktTP8We1SCoS47DrQ/edit?usp=sharing"",""จัดที่ดิน!Z44"")"),1604.2)</f>
        <v>1604.2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IFERROR(__xludf.DUMMYFUNCTION("IMPORTRANGE(""https://docs.google.com/spreadsheets/d/1XWAQStnk-4SwqDmLtmXYiTMKHgktTP8We1SCoS47DrQ/edit?usp=sharing"",""จัดที่ดิน!AA44"")"),36)</f>
        <v>36</v>
      </c>
      <c r="K362" s="497">
        <f t="shared" ca="1" si="161"/>
        <v>3.2374100719424459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IFERROR(__xludf.DUMMYFUNCTION("IMPORTRANGE(""https://docs.google.com/spreadsheets/d/1XWAQStnk-4SwqDmLtmXYiTMKHgktTP8We1SCoS47DrQ/edit?usp=sharing"",""จัดที่ดิน!AB44"")"),193.52)</f>
        <v>193.52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503</v>
      </c>
      <c r="K364" s="479">
        <f t="shared" ca="1" si="161"/>
        <v>23.816287878787879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2</v>
      </c>
      <c r="K365" s="491">
        <f t="shared" ca="1" si="161"/>
        <v>0.64102564102564108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IFERROR(__xludf.DUMMYFUNCTION("IMPORTRANGE(""https://docs.google.com/spreadsheets/d/1XWAQStnk-4SwqDmLtmXYiTMKHgktTP8We1SCoS47DrQ/edit?usp=sharing"",""จัดที่ดิน!E44"")"),42)</f>
        <v>42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IFERROR(__xludf.DUMMYFUNCTION("IMPORTRANGE(""https://docs.google.com/spreadsheets/d/1XWAQStnk-4SwqDmLtmXYiTMKHgktTP8We1SCoS47DrQ/edit?usp=sharing"",""จัดที่ดิน!F44"")"),204.77)</f>
        <v>204.77</v>
      </c>
      <c r="K369" s="497">
        <f t="shared" ca="1" si="163"/>
        <v>6.5631410256410261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IFERROR(__xludf.DUMMYFUNCTION("IMPORTRANGE(""https://docs.google.com/spreadsheets/d/1XWAQStnk-4SwqDmLtmXYiTMKHgktTP8We1SCoS47DrQ/edit?usp=sharing"",""จัดที่ดิน!G44"")"),2)</f>
        <v>2</v>
      </c>
      <c r="K370" s="497">
        <f t="shared" ca="1" si="163"/>
        <v>0.64102564102564108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IFERROR(__xludf.DUMMYFUNCTION("IMPORTRANGE(""https://docs.google.com/spreadsheets/d/1XWAQStnk-4SwqDmLtmXYiTMKHgktTP8We1SCoS47DrQ/edit?usp=sharing"",""จัดที่ดิน!H44"")"),17.53)</f>
        <v>17.53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IFERROR(__xludf.DUMMYFUNCTION("IMPORTRANGE(""https://docs.google.com/spreadsheets/d/1XWAQStnk-4SwqDmLtmXYiTMKHgktTP8We1SCoS47DrQ/edit?usp=sharing"",""จัดที่ดิน!I44"")"),2)</f>
        <v>2</v>
      </c>
      <c r="K372" s="497">
        <f t="shared" ca="1" si="163"/>
        <v>0.64102564102564108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IFERROR(__xludf.DUMMYFUNCTION("IMPORTRANGE(""https://docs.google.com/spreadsheets/d/1XWAQStnk-4SwqDmLtmXYiTMKHgktTP8We1SCoS47DrQ/edit?usp=sharing"",""จัดที่ดิน!J44"")"),17.53)</f>
        <v>17.53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501</v>
      </c>
      <c r="K374" s="491">
        <f t="shared" ca="1" si="163"/>
        <v>27.833333333333332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IFERROR(__xludf.DUMMYFUNCTION("IMPORTRANGE(""https://docs.google.com/spreadsheets/d/1XWAQStnk-4SwqDmLtmXYiTMKHgktTP8We1SCoS47DrQ/edit?usp=sharing"",""จัดที่ดิน!AH44"")"),300)</f>
        <v>300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IFERROR(__xludf.DUMMYFUNCTION("IMPORTRANGE(""https://docs.google.com/spreadsheets/d/1XWAQStnk-4SwqDmLtmXYiTMKHgktTP8We1SCoS47DrQ/edit?usp=sharing"",""จัดที่ดิน!AI44"")"),1615.04)</f>
        <v>1615.04</v>
      </c>
      <c r="K378" s="497">
        <f t="shared" ca="1" si="164"/>
        <v>20.187999999999999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IFERROR(__xludf.DUMMYFUNCTION("IMPORTRANGE(""https://docs.google.com/spreadsheets/d/1XWAQStnk-4SwqDmLtmXYiTMKHgktTP8We1SCoS47DrQ/edit?usp=sharing"",""จัดที่ดิน!AJ44"")"),765)</f>
        <v>765</v>
      </c>
      <c r="K379" s="497">
        <f t="shared" ca="1" si="164"/>
        <v>42.5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IFERROR(__xludf.DUMMYFUNCTION("IMPORTRANGE(""https://docs.google.com/spreadsheets/d/1XWAQStnk-4SwqDmLtmXYiTMKHgktTP8We1SCoS47DrQ/edit?usp=sharing"",""จัดที่ดิน!AK44"")"),5579.12)</f>
        <v>5579.12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IFERROR(__xludf.DUMMYFUNCTION("IMPORTRANGE(""https://docs.google.com/spreadsheets/d/1XWAQStnk-4SwqDmLtmXYiTMKHgktTP8We1SCoS47DrQ/edit?usp=sharing"",""จัดที่ดิน!AL44"")"),501)</f>
        <v>501</v>
      </c>
      <c r="K381" s="497">
        <f t="shared" ca="1" si="164"/>
        <v>27.833333333333332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IFERROR(__xludf.DUMMYFUNCTION("IMPORTRANGE(""https://docs.google.com/spreadsheets/d/1XWAQStnk-4SwqDmLtmXYiTMKHgktTP8We1SCoS47DrQ/edit?usp=sharing"",""จัดที่ดิน!AM44"")"),4098.65)</f>
        <v>4098.6499999999996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IFERROR(__xludf.DUMMYFUNCTION("IMPORTRANGE(""https://docs.google.com/spreadsheets/d/1QqKyyYR6Q21VydFLVH3TRQUabQu_ym0Zz7PgGX0-kHA/edit?usp=sharing"",""แผน!EW44"")"),150)</f>
        <v>150</v>
      </c>
      <c r="J385" s="500">
        <f ca="1">IFERROR(__xludf.DUMMYFUNCTION("IMPORTRANGE(""https://docs.google.com/spreadsheets/d/1XWAQStnk-4SwqDmLtmXYiTMKHgktTP8We1SCoS47DrQ/edit?usp=sharing"",""จัดที่ดิน!AP44"")"),1)</f>
        <v>1</v>
      </c>
      <c r="K385" s="501">
        <f ca="1">IF(I385&gt;0,J385*100/I385,0)</f>
        <v>0.66666666666666663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2315871</v>
      </c>
      <c r="M414" s="548">
        <f t="shared" si="181"/>
        <v>0</v>
      </c>
      <c r="N414" s="548">
        <f t="shared" si="181"/>
        <v>319430</v>
      </c>
      <c r="O414" s="548">
        <f ca="1">IF(L414&gt;0,N414*100/L414,0)</f>
        <v>13.79308260261474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55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si="184"/>
        <v>0</v>
      </c>
      <c r="N419" s="155">
        <f t="shared" si="184"/>
        <v>3200</v>
      </c>
      <c r="O419" s="155">
        <f t="shared" ref="O419:O424" ca="1" si="185">IF(L419&gt;0,N419*100/L419,0)</f>
        <v>1.9588638589618022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163360</v>
      </c>
      <c r="M421" s="93">
        <f t="shared" si="187"/>
        <v>0</v>
      </c>
      <c r="N421" s="93">
        <f t="shared" si="187"/>
        <v>3200</v>
      </c>
      <c r="O421" s="93">
        <f t="shared" ca="1" si="185"/>
        <v>1.9588638589618022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si="188"/>
        <v>0</v>
      </c>
      <c r="N422" s="497">
        <f t="shared" si="188"/>
        <v>3200</v>
      </c>
      <c r="O422" s="497">
        <f t="shared" ca="1" si="185"/>
        <v>1.9588638589618022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v>0</v>
      </c>
      <c r="N424" s="93">
        <f>N425+N426+N427+N428</f>
        <v>3200</v>
      </c>
      <c r="O424" s="93">
        <f t="shared" ca="1" si="185"/>
        <v>1.9588638589618022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3200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55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IFERROR(__xludf.DUMMYFUNCTION("IMPORTRANGE(""https://docs.google.com/spreadsheets/d/1QqKyyYR6Q21VydFLVH3TRQUabQu_ym0Zz7PgGX0-kHA/edit?usp=sharing"",""แผน!FC44"")"),55)</f>
        <v>55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IFERROR(__xludf.DUMMYFUNCTION("IMPORTRANGE(""https://docs.google.com/spreadsheets/d/1QqKyyYR6Q21VydFLVH3TRQUabQu_ym0Zz7PgGX0-kHA/edit?usp=sharing"",""แผน!FD44"")"),0)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IFERROR(__xludf.DUMMYFUNCTION("IMPORTRANGE(""https://docs.google.com/spreadsheets/d/1QqKyyYR6Q21VydFLVH3TRQUabQu_ym0Zz7PgGX0-kHA/edit?usp=sharing"",""แผน!FF44"")"),55)</f>
        <v>55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40</v>
      </c>
      <c r="J442" s="584">
        <f t="shared" si="195"/>
        <v>40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200</v>
      </c>
      <c r="J443" s="564">
        <f t="shared" si="196"/>
        <v>200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si="197"/>
        <v>0</v>
      </c>
      <c r="N444" s="195">
        <f t="shared" si="197"/>
        <v>151430</v>
      </c>
      <c r="O444" s="195">
        <f t="shared" ref="O444:O449" ca="1" si="198">IF(L444&gt;0,N444*100/L444,0)</f>
        <v>37.512386048355133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403680</v>
      </c>
      <c r="M446" s="93">
        <f t="shared" si="200"/>
        <v>0</v>
      </c>
      <c r="N446" s="93">
        <f t="shared" si="200"/>
        <v>151430</v>
      </c>
      <c r="O446" s="93">
        <f t="shared" ca="1" si="198"/>
        <v>37.512386048355133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si="201"/>
        <v>0</v>
      </c>
      <c r="N447" s="497">
        <f t="shared" si="201"/>
        <v>151430</v>
      </c>
      <c r="O447" s="497">
        <f t="shared" ca="1" si="198"/>
        <v>37.512386048355133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v>0</v>
      </c>
      <c r="N449" s="93">
        <f>N450+N451+N452+N453</f>
        <v>151430</v>
      </c>
      <c r="O449" s="93">
        <f t="shared" ca="1" si="198"/>
        <v>37.512386048355133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36190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61400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52000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1840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IFERROR(__xludf.DUMMYFUNCTION("IMPORTRANGE(""https://docs.google.com/spreadsheets/d/1QqKyyYR6Q21VydFLVH3TRQUabQu_ym0Zz7PgGX0-kHA/edit?usp=sharing"",""แผน!FX44"")"),51)</f>
        <v>51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IFERROR(__xludf.DUMMYFUNCTION("IMPORTRANGE(""https://docs.google.com/spreadsheets/d/1QqKyyYR6Q21VydFLVH3TRQUabQu_ym0Zz7PgGX0-kHA/edit?usp=sharing"",""แผน!FW44"")"),500)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si="206"/>
        <v>0</v>
      </c>
      <c r="N467" s="195">
        <f t="shared" si="206"/>
        <v>11560</v>
      </c>
      <c r="O467" s="195">
        <f t="shared" ref="O467:O472" ca="1" si="207">IF(L467&gt;0,N467*100/L467,0)</f>
        <v>2.7888821070052567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414503</v>
      </c>
      <c r="M469" s="93">
        <f t="shared" si="209"/>
        <v>0</v>
      </c>
      <c r="N469" s="93">
        <f t="shared" si="209"/>
        <v>11560</v>
      </c>
      <c r="O469" s="93">
        <f t="shared" ca="1" si="207"/>
        <v>2.7888821070052567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si="210"/>
        <v>0</v>
      </c>
      <c r="N470" s="497">
        <f t="shared" si="210"/>
        <v>11560</v>
      </c>
      <c r="O470" s="497">
        <f t="shared" ca="1" si="207"/>
        <v>2.7888821070052567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v>0</v>
      </c>
      <c r="N472" s="93">
        <f>N473+N474+N475+N476</f>
        <v>11560</v>
      </c>
      <c r="O472" s="93">
        <f t="shared" ca="1" si="207"/>
        <v>2.7888821070052567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11560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/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IFERROR(__xludf.DUMMYFUNCTION("IMPORTRANGE(""https://docs.google.com/spreadsheets/d/1QqKyyYR6Q21VydFLVH3TRQUabQu_ym0Zz7PgGX0-kHA/edit?usp=sharing"",""แผน!GU44"")"),0)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11002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786183</v>
      </c>
      <c r="M544" s="155">
        <f t="shared" si="236"/>
        <v>0</v>
      </c>
      <c r="N544" s="155">
        <f t="shared" si="236"/>
        <v>63590</v>
      </c>
      <c r="O544" s="155">
        <f t="shared" ref="O544:O549" ca="1" si="237">IF(L544&gt;0,N544*100/L544,0)</f>
        <v>8.0884476006222474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786183</v>
      </c>
      <c r="M546" s="93">
        <f t="shared" si="240"/>
        <v>0</v>
      </c>
      <c r="N546" s="93">
        <f t="shared" si="240"/>
        <v>63590</v>
      </c>
      <c r="O546" s="93">
        <f t="shared" ca="1" si="237"/>
        <v>8.0884476006222474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786183</v>
      </c>
      <c r="M547" s="497">
        <f t="shared" si="241"/>
        <v>0</v>
      </c>
      <c r="N547" s="497">
        <f t="shared" si="241"/>
        <v>63590</v>
      </c>
      <c r="O547" s="497">
        <f t="shared" ca="1" si="237"/>
        <v>8.0884476006222474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IFERROR(__xludf.DUMMYFUNCTION("IMPORTRANGE(""https://docs.google.com/spreadsheets/d/1QqKyyYR6Q21VydFLVH3TRQUabQu_ym0Zz7PgGX0-kHA/edit?usp=sharing"",""แผน!HB44"")"),786183)</f>
        <v>786183</v>
      </c>
      <c r="M549" s="93">
        <v>0</v>
      </c>
      <c r="N549" s="93">
        <f>N550+N551+N552+N553+N554</f>
        <v>63590</v>
      </c>
      <c r="O549" s="93">
        <f t="shared" ca="1" si="237"/>
        <v>8.0884476006222474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f>26000+8250</f>
        <v>34250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f>29340</f>
        <v>29340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11002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6440</v>
      </c>
      <c r="K560" s="411">
        <f t="shared" ca="1" si="246"/>
        <v>58.534811852390476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3225</v>
      </c>
      <c r="K561" s="411">
        <f t="shared" ca="1" si="246"/>
        <v>66.659776767259203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5482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2861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494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161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464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203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5265.94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IFERROR(__xludf.DUMMYFUNCTION("IMPORTRANGE(""https://docs.google.com/spreadsheets/d/1QqKyyYR6Q21VydFLVH3TRQUabQu_ym0Zz7PgGX0-kHA/edit?usp=sharing"",""แผน!HL44"")"),52)</f>
        <v>52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IFERROR(__xludf.DUMMYFUNCTION("IMPORTRANGE(""https://docs.google.com/spreadsheets/d/1QqKyyYR6Q21VydFLVH3TRQUabQu_ym0Zz7PgGX0-kHA/edit?usp=sharing"",""แผน!HK44"")"),18)</f>
        <v>18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350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si="263"/>
        <v>0</v>
      </c>
      <c r="N629" s="195">
        <f t="shared" si="263"/>
        <v>76310</v>
      </c>
      <c r="O629" s="195">
        <f t="shared" ref="O629:O634" ca="1" si="264">IF(L629&gt;0,N629*100/L629,0)</f>
        <v>14.329305504699134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532545</v>
      </c>
      <c r="M631" s="93">
        <f t="shared" si="266"/>
        <v>0</v>
      </c>
      <c r="N631" s="93">
        <f t="shared" si="266"/>
        <v>76310</v>
      </c>
      <c r="O631" s="93">
        <f t="shared" ca="1" si="264"/>
        <v>14.329305504699134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si="267"/>
        <v>0</v>
      </c>
      <c r="N632" s="497">
        <f t="shared" si="267"/>
        <v>76310</v>
      </c>
      <c r="O632" s="497">
        <f t="shared" ca="1" si="264"/>
        <v>14.329305504699134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v>0</v>
      </c>
      <c r="N634" s="93">
        <f>N635+N636+N637+N638</f>
        <v>76310</v>
      </c>
      <c r="O634" s="93">
        <f t="shared" ca="1" si="264"/>
        <v>14.329305504699134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f>26000+4170</f>
        <v>30170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f>33000+13140</f>
        <v>46140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IFERROR(__xludf.DUMMYFUNCTION("IMPORTRANGE(""https://docs.google.com/spreadsheets/d/1XWAQStnk-4SwqDmLtmXYiTMKHgktTP8We1SCoS47DrQ/edit?usp=sharing"",""จัดที่ดิน!AS44"")"),343)</f>
        <v>343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IFERROR(__xludf.DUMMYFUNCTION("IMPORTRANGE(""https://docs.google.com/spreadsheets/d/1XWAQStnk-4SwqDmLtmXYiTMKHgktTP8We1SCoS47DrQ/edit?usp=sharing"",""จัดที่ดิน!AT44"")"),181.44)</f>
        <v>181.44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IFERROR(__xludf.DUMMYFUNCTION("IMPORTRANGE(""https://docs.google.com/spreadsheets/d/1XWAQStnk-4SwqDmLtmXYiTMKHgktTP8We1SCoS47DrQ/edit?usp=sharing"",""จัดที่ดิน!AU44"")"),34)</f>
        <v>34</v>
      </c>
      <c r="K647" s="163">
        <f t="shared" ca="1" si="271"/>
        <v>9.7142857142857135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IFERROR(__xludf.DUMMYFUNCTION("IMPORTRANGE(""https://docs.google.com/spreadsheets/d/1XWAQStnk-4SwqDmLtmXYiTMKHgktTP8We1SCoS47DrQ/edit?usp=sharing"",""จัดที่ดิน!AV44"")"),19.93)</f>
        <v>19.93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IFERROR(__xludf.DUMMYFUNCTION("IMPORTRANGE(""https://docs.google.com/spreadsheets/d/1XWAQStnk-4SwqDmLtmXYiTMKHgktTP8We1SCoS47DrQ/edit?usp=sharing"",""จัดที่ดิน!AW44"")"),34)</f>
        <v>34</v>
      </c>
      <c r="K649" s="163">
        <f t="shared" ca="1" si="271"/>
        <v>9.7142857142857135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IFERROR(__xludf.DUMMYFUNCTION("IMPORTRANGE(""https://docs.google.com/spreadsheets/d/1XWAQStnk-4SwqDmLtmXYiTMKHgktTP8We1SCoS47DrQ/edit?usp=sharing"",""จัดที่ดิน!AX44"")"),19.93)</f>
        <v>19.93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IFERROR(__xludf.DUMMYFUNCTION("IMPORTRANGE(""https://docs.google.com/spreadsheets/d/1XWAQStnk-4SwqDmLtmXYiTMKHgktTP8We1SCoS47DrQ/edit?usp=sharing"",""จัดที่ดิน!AZ44"")"),0)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13340</v>
      </c>
      <c r="O655" s="195">
        <f t="shared" ref="O655:O660" ca="1" si="274">IF(L655&gt;0,N655*100/L655,0)</f>
        <v>85.512820512820511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13340</v>
      </c>
      <c r="O657" s="93">
        <f t="shared" ca="1" si="274"/>
        <v>85.512820512820511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si="277"/>
        <v>0</v>
      </c>
      <c r="N658" s="497">
        <f t="shared" si="277"/>
        <v>13340</v>
      </c>
      <c r="O658" s="497">
        <f t="shared" ca="1" si="274"/>
        <v>85.512820512820511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v>0</v>
      </c>
      <c r="N660" s="93">
        <f>N661+N662+N663+N664</f>
        <v>13340</v>
      </c>
      <c r="O660" s="93">
        <f t="shared" ca="1" si="274"/>
        <v>85.512820512820511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13340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IFERROR(__xludf.DUMMYFUNCTION("IMPORTRANGE(""https://docs.google.com/spreadsheets/d/1QqKyyYR6Q21VydFLVH3TRQUabQu_ym0Zz7PgGX0-kHA/edit?usp=sharing"",""แผน!IA44"")"),100)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IFERROR(__xludf.DUMMYFUNCTION("IMPORTRANGE(""https://docs.google.com/spreadsheets/d/1QqKyyYR6Q21VydFLVH3TRQUabQu_ym0Zz7PgGX0-kHA/edit?usp=sharing"",""แผน!IB44"")"),0)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IFERROR(__xludf.DUMMYFUNCTION("IMPORTRANGE(""https://docs.google.com/spreadsheets/d/1QqKyyYR6Q21VydFLVH3TRQUabQu_ym0Zz7PgGX0-kHA/edit?usp=sharing"",""แผน!IE44"")"),0)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IFERROR(__xludf.DUMMYFUNCTION("IMPORTRANGE(""https://docs.google.com/spreadsheets/d/1QqKyyYR6Q21VydFLVH3TRQUabQu_ym0Zz7PgGX0-kHA/edit?usp=sharing"",""แผน!IH44"")"),0)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IFERROR(__xludf.DUMMYFUNCTION("IMPORTRANGE(""https://docs.google.com/spreadsheets/d/1QqKyyYR6Q21VydFLVH3TRQUabQu_ym0Zz7PgGX0-kHA/edit?usp=sharing"",""แผน!IJ44"")"),0)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IFERROR(__xludf.DUMMYFUNCTION("IMPORTRANGE(""https://docs.google.com/spreadsheets/d/1QqKyyYR6Q21VydFLVH3TRQUabQu_ym0Zz7PgGX0-kHA/edit?usp=sharing"",""แผน!IK44"")"),0)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IFERROR(__xludf.DUMMYFUNCTION("IMPORTRANGE(""https://docs.google.com/spreadsheets/d/1QqKyyYR6Q21VydFLVH3TRQUabQu_ym0Zz7PgGX0-kHA/edit?usp=sharing"",""แผน!IP44"")"),0)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IFERROR(__xludf.DUMMYFUNCTION("IMPORTRANGE(""https://docs.google.com/spreadsheets/d/19vJNZY_5yjcGF2XGBMNZRCAIB0Kwfpjp8YEOfu-bneM/edit?usp=sharing"",""งานกองทุน!F44"")"),2235075.48)</f>
        <v>2235075.48</v>
      </c>
      <c r="K821" s="497">
        <f t="shared" ref="K821:K828" ca="1" si="335">IF(I821&gt;0,J821*100/I821,0)</f>
        <v>29.233126644101844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IFERROR(__xludf.DUMMYFUNCTION("IMPORTRANGE(""https://docs.google.com/spreadsheets/d/19vJNZY_5yjcGF2XGBMNZRCAIB0Kwfpjp8YEOfu-bneM/edit?usp=sharing"",""งานกองทุน!E44"")"),201)</f>
        <v>201</v>
      </c>
      <c r="K822" s="497">
        <f t="shared" ca="1" si="335"/>
        <v>33.781512605042018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IFERROR(__xludf.DUMMYFUNCTION("IMPORTRANGE(""https://docs.google.com/spreadsheets/d/19vJNZY_5yjcGF2XGBMNZRCAIB0Kwfpjp8YEOfu-bneM/edit?usp=sharing"",""งานกองทุน!K44"")"),1026453.23)</f>
        <v>1026453.23</v>
      </c>
      <c r="K823" s="497">
        <f t="shared" ca="1" si="335"/>
        <v>4.7264342305611686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IFERROR(__xludf.DUMMYFUNCTION("IMPORTRANGE(""https://docs.google.com/spreadsheets/d/19vJNZY_5yjcGF2XGBMNZRCAIB0Kwfpjp8YEOfu-bneM/edit?usp=sharing"",""งานกองทุน!J44"")"),246)</f>
        <v>246</v>
      </c>
      <c r="K824" s="497">
        <f t="shared" ca="1" si="335"/>
        <v>20.048899755501221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IFERROR(__xludf.DUMMYFUNCTION("IMPORTRANGE(""https://docs.google.com/spreadsheets/d/19vJNZY_5yjcGF2XGBMNZRCAIB0Kwfpjp8YEOfu-bneM/edit?usp=sharing"",""งานกองทุน!P44"")"),198690.15)</f>
        <v>198690.15</v>
      </c>
      <c r="K825" s="497">
        <f t="shared" ca="1" si="335"/>
        <v>9.5028530849260999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IFERROR(__xludf.DUMMYFUNCTION("IMPORTRANGE(""https://docs.google.com/spreadsheets/d/19vJNZY_5yjcGF2XGBMNZRCAIB0Kwfpjp8YEOfu-bneM/edit?usp=sharing"",""งานกองทุน!O44"")"),41)</f>
        <v>41</v>
      </c>
      <c r="K826" s="497">
        <f t="shared" ca="1" si="335"/>
        <v>36.283185840707965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IFERROR(__xludf.DUMMYFUNCTION("IMPORTRANGE(""https://docs.google.com/spreadsheets/d/19vJNZY_5yjcGF2XGBMNZRCAIB0Kwfpjp8YEOfu-bneM/edit?usp=sharing"",""งานกองทุน!U44"")"),1910000)</f>
        <v>1910000</v>
      </c>
      <c r="K827" s="497">
        <f t="shared" ca="1" si="335"/>
        <v>19.529652351738243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IFERROR(__xludf.DUMMYFUNCTION("IMPORTRANGE(""https://docs.google.com/spreadsheets/d/19vJNZY_5yjcGF2XGBMNZRCAIB0Kwfpjp8YEOfu-bneM/edit?usp=sharing"",""งานกองทุน!R44"")"),391)</f>
        <v>391</v>
      </c>
      <c r="J828" s="500">
        <f ca="1">IFERROR(__xludf.DUMMYFUNCTION("IMPORTRANGE(""https://docs.google.com/spreadsheets/d/19vJNZY_5yjcGF2XGBMNZRCAIB0Kwfpjp8YEOfu-bneM/edit?usp=sharing"",""งานกองทุน!T44"")"),44)</f>
        <v>44</v>
      </c>
      <c r="K828" s="501">
        <f t="shared" ca="1" si="335"/>
        <v>11.253196930946292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19FF2-5406-40AF-B40D-5CD0968F401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350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4239893</v>
      </c>
      <c r="N8" s="22">
        <f t="shared" ca="1" si="0"/>
        <v>2734667.95</v>
      </c>
      <c r="O8" s="22">
        <f t="shared" ref="O8:O16" ca="1" si="1">IF(L8&gt;0,N8*100/L8,0)</f>
        <v>31.619183762947806</v>
      </c>
      <c r="P8" s="22">
        <f t="shared" ref="P8:P16" ca="1" si="2">IF(M8&gt;0,N8*100/M8,0)</f>
        <v>64.498513287953259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4239893</v>
      </c>
      <c r="N10" s="30">
        <f t="shared" ca="1" si="3"/>
        <v>2734667.95</v>
      </c>
      <c r="O10" s="30">
        <f t="shared" ca="1" si="1"/>
        <v>31.619183762947806</v>
      </c>
      <c r="P10" s="30">
        <f t="shared" ca="1" si="2"/>
        <v>64.498513287953259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3809293</v>
      </c>
      <c r="N11" s="497">
        <f t="shared" ca="1" si="4"/>
        <v>2304067.9500000002</v>
      </c>
      <c r="O11" s="497">
        <f t="shared" ca="1" si="1"/>
        <v>28.036292664953553</v>
      </c>
      <c r="P11" s="497">
        <f t="shared" ca="1" si="2"/>
        <v>60.485448349601889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8218162</v>
      </c>
      <c r="M13" s="93">
        <f t="shared" ca="1" si="5"/>
        <v>3809293</v>
      </c>
      <c r="N13" s="93">
        <f t="shared" ca="1" si="5"/>
        <v>2304067.9500000002</v>
      </c>
      <c r="O13" s="93">
        <f t="shared" ca="1" si="1"/>
        <v>28.036292664953553</v>
      </c>
      <c r="P13" s="93">
        <f t="shared" ca="1" si="2"/>
        <v>60.485448349601889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4239893</v>
      </c>
      <c r="N18" s="22">
        <f t="shared" ca="1" si="8"/>
        <v>2149933.31</v>
      </c>
      <c r="O18" s="22">
        <f t="shared" ref="O18:O26" ca="1" si="9">IF(L18&gt;0,N18*100/L18,0)</f>
        <v>36.90171344261271</v>
      </c>
      <c r="P18" s="22">
        <f t="shared" ref="P18:P26" ca="1" si="10">IF(M18&gt;0,N18*100/M18,0)</f>
        <v>50.707253933059157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4239893</v>
      </c>
      <c r="N20" s="30">
        <f t="shared" ca="1" si="11"/>
        <v>2149933.31</v>
      </c>
      <c r="O20" s="30">
        <f t="shared" ca="1" si="9"/>
        <v>36.90171344261271</v>
      </c>
      <c r="P20" s="30">
        <f t="shared" ca="1" si="10"/>
        <v>50.707253933059157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3809293</v>
      </c>
      <c r="N21" s="497">
        <f t="shared" ca="1" si="12"/>
        <v>1719333.31</v>
      </c>
      <c r="O21" s="497">
        <f t="shared" ca="1" si="9"/>
        <v>31.866019449145373</v>
      </c>
      <c r="P21" s="497">
        <f t="shared" ca="1" si="10"/>
        <v>45.135234018491097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5395507</v>
      </c>
      <c r="M23" s="93">
        <f t="shared" ca="1" si="13"/>
        <v>3809293</v>
      </c>
      <c r="N23" s="93">
        <f t="shared" ca="1" si="13"/>
        <v>1719333.31</v>
      </c>
      <c r="O23" s="93">
        <f t="shared" ca="1" si="9"/>
        <v>31.866019449145373</v>
      </c>
      <c r="P23" s="93">
        <f t="shared" ca="1" si="10"/>
        <v>45.135234018491097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si="16"/>
        <v>0</v>
      </c>
      <c r="N28" s="22">
        <f t="shared" si="16"/>
        <v>584734.64</v>
      </c>
      <c r="O28" s="22">
        <f t="shared" ref="O28:O37" ca="1" si="17">IF(L28&gt;0,N28*100/L28,0)</f>
        <v>20.715767247502793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si="19"/>
        <v>0</v>
      </c>
      <c r="N30" s="30">
        <f t="shared" si="19"/>
        <v>584734.64</v>
      </c>
      <c r="O30" s="30">
        <f t="shared" ca="1" si="17"/>
        <v>20.715767247502793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si="20"/>
        <v>0</v>
      </c>
      <c r="N31" s="497">
        <f t="shared" si="20"/>
        <v>584734.64</v>
      </c>
      <c r="O31" s="497">
        <f t="shared" ca="1" si="17"/>
        <v>20.715767247502793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2822655</v>
      </c>
      <c r="M33" s="93">
        <f t="shared" si="21"/>
        <v>0</v>
      </c>
      <c r="N33" s="93">
        <f t="shared" si="21"/>
        <v>584734.64</v>
      </c>
      <c r="O33" s="93">
        <f t="shared" ca="1" si="17"/>
        <v>20.715767247502793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5826107</v>
      </c>
      <c r="M37" s="843">
        <f t="shared" ca="1" si="24"/>
        <v>4239893</v>
      </c>
      <c r="N37" s="843">
        <f t="shared" ca="1" si="24"/>
        <v>2149933.3099999996</v>
      </c>
      <c r="O37" s="843">
        <f t="shared" ca="1" si="17"/>
        <v>36.901713442612703</v>
      </c>
      <c r="P37" s="843">
        <f t="shared" ca="1" si="18"/>
        <v>50.70725393305915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809498</v>
      </c>
      <c r="N41" s="85">
        <f t="shared" ca="1" si="25"/>
        <v>261149.13</v>
      </c>
      <c r="O41" s="85">
        <f t="shared" ref="O41:O49" ca="1" si="26">IF(L41&gt;0,N41*100/L41,0)</f>
        <v>32.36080778991613</v>
      </c>
      <c r="P41" s="85">
        <f t="shared" ref="P41:P49" ca="1" si="27">IF(M41&gt;0,N41*100/M41,0)</f>
        <v>32.260626956459433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809498</v>
      </c>
      <c r="N43" s="92">
        <f t="shared" ca="1" si="28"/>
        <v>261149.13</v>
      </c>
      <c r="O43" s="92">
        <f t="shared" ca="1" si="26"/>
        <v>32.36080778991613</v>
      </c>
      <c r="P43" s="92">
        <f t="shared" ca="1" si="27"/>
        <v>32.260626956459433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809498</v>
      </c>
      <c r="N44" s="497">
        <f t="shared" ca="1" si="29"/>
        <v>261149.13</v>
      </c>
      <c r="O44" s="497">
        <f t="shared" ca="1" si="26"/>
        <v>32.36080778991613</v>
      </c>
      <c r="P44" s="497">
        <f t="shared" ca="1" si="27"/>
        <v>32.260626956459433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IFERROR(__xludf.DUMMYFUNCTION("IMPORTRANGE(""https://docs.google.com/spreadsheets/d/1MeEWN-I1oV_STSDYn1IFDPWt_1FKiwhDph83XaGc0o0/edit?usp=sharing"",""งบพรบ!R45"")"),809498)</f>
        <v>809498</v>
      </c>
      <c r="N46" s="93">
        <f ca="1">IFERROR(__xludf.DUMMYFUNCTION("IMPORTRANGE(""https://docs.google.com/spreadsheets/d/1MeEWN-I1oV_STSDYn1IFDPWt_1FKiwhDph83XaGc0o0/edit?usp=sharing"",""งบพรบ!T45"")"),261149.13)</f>
        <v>261149.13</v>
      </c>
      <c r="O46" s="93">
        <f t="shared" ca="1" si="26"/>
        <v>32.36080778991613</v>
      </c>
      <c r="P46" s="93">
        <f t="shared" ca="1" si="27"/>
        <v>32.260626956459433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592800</v>
      </c>
      <c r="N53" s="116">
        <f t="shared" ca="1" si="31"/>
        <v>361930.02</v>
      </c>
      <c r="O53" s="116">
        <f t="shared" ref="O53:O61" ca="1" si="32">IF(L53&gt;0,N53*100/L53,0)</f>
        <v>45.790741396761135</v>
      </c>
      <c r="P53" s="116">
        <f t="shared" ref="P53:P61" ca="1" si="33">IF(M53&gt;0,N53*100/M53,0)</f>
        <v>61.054321862348175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592800</v>
      </c>
      <c r="N55" s="123">
        <f t="shared" ca="1" si="34"/>
        <v>361930.02</v>
      </c>
      <c r="O55" s="123">
        <f t="shared" ca="1" si="32"/>
        <v>45.790741396761135</v>
      </c>
      <c r="P55" s="123">
        <f t="shared" ca="1" si="33"/>
        <v>61.054321862348175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592800</v>
      </c>
      <c r="N56" s="497">
        <f t="shared" ca="1" si="35"/>
        <v>361930.02</v>
      </c>
      <c r="O56" s="497">
        <f t="shared" ca="1" si="32"/>
        <v>45.790741396761135</v>
      </c>
      <c r="P56" s="497">
        <f t="shared" ca="1" si="33"/>
        <v>61.054321862348175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IFERROR(__xludf.DUMMYFUNCTION("IMPORTRANGE(""https://docs.google.com/spreadsheets/d/1MeEWN-I1oV_STSDYn1IFDPWt_1FKiwhDph83XaGc0o0/edit?usp=sharing"",""งบพรบ!AB45"")"),592800)</f>
        <v>592800</v>
      </c>
      <c r="N58" s="93">
        <f ca="1">IFERROR(__xludf.DUMMYFUNCTION("IMPORTRANGE(""https://docs.google.com/spreadsheets/d/1MeEWN-I1oV_STSDYn1IFDPWt_1FKiwhDph83XaGc0o0/edit?usp=sharing"",""งบพรบ!AD45"")"),361930.02)</f>
        <v>361930.02</v>
      </c>
      <c r="O58" s="93">
        <f t="shared" ca="1" si="32"/>
        <v>45.790741396761135</v>
      </c>
      <c r="P58" s="93">
        <f t="shared" ca="1" si="33"/>
        <v>61.054321862348175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649500</v>
      </c>
      <c r="N66" s="155">
        <f t="shared" ca="1" si="39"/>
        <v>273000</v>
      </c>
      <c r="O66" s="155">
        <f t="shared" ref="O66:O74" ca="1" si="40">IF(L66&gt;0,N66*100/L66,0)</f>
        <v>26.976284584980238</v>
      </c>
      <c r="P66" s="155">
        <f t="shared" ref="P66:P74" ca="1" si="41">IF(M66&gt;0,N66*100/M66,0)</f>
        <v>42.032332563510394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1012000</v>
      </c>
      <c r="M68" s="93">
        <f t="shared" ca="1" si="42"/>
        <v>649500</v>
      </c>
      <c r="N68" s="93">
        <f t="shared" ca="1" si="42"/>
        <v>273000</v>
      </c>
      <c r="O68" s="93">
        <f t="shared" ca="1" si="40"/>
        <v>26.976284584980238</v>
      </c>
      <c r="P68" s="93">
        <f t="shared" ca="1" si="41"/>
        <v>42.032332563510394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649500</v>
      </c>
      <c r="N69" s="497">
        <f t="shared" ca="1" si="43"/>
        <v>273000</v>
      </c>
      <c r="O69" s="497">
        <f t="shared" ca="1" si="40"/>
        <v>26.976284584980238</v>
      </c>
      <c r="P69" s="497">
        <f t="shared" ca="1" si="41"/>
        <v>42.032332563510394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IFERROR(__xludf.DUMMYFUNCTION("IMPORTRANGE(""https://docs.google.com/spreadsheets/d/1MeEWN-I1oV_STSDYn1IFDPWt_1FKiwhDph83XaGc0o0/edit?usp=sharing"",""งบพรบ!AL45"")"),649500)</f>
        <v>649500</v>
      </c>
      <c r="N71" s="93">
        <f ca="1">IFERROR(__xludf.DUMMYFUNCTION("IMPORTRANGE(""https://docs.google.com/spreadsheets/d/1MeEWN-I1oV_STSDYn1IFDPWt_1FKiwhDph83XaGc0o0/edit?usp=sharing"",""งบพรบ!AN45"")"),273000)</f>
        <v>273000</v>
      </c>
      <c r="O71" s="93">
        <f t="shared" ca="1" si="40"/>
        <v>26.976284584980238</v>
      </c>
      <c r="P71" s="93">
        <f t="shared" ca="1" si="41"/>
        <v>42.032332563510394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45980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111180</v>
      </c>
      <c r="M90" s="93">
        <f t="shared" ca="1" si="52"/>
        <v>45980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45980</v>
      </c>
      <c r="N91" s="497">
        <f t="shared" ca="1" si="53"/>
        <v>0</v>
      </c>
      <c r="O91" s="497">
        <f t="shared" ca="1" si="50"/>
        <v>0</v>
      </c>
      <c r="P91" s="49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IFERROR(__xludf.DUMMYFUNCTION("IMPORTRANGE(""https://docs.google.com/spreadsheets/d/1MeEWN-I1oV_STSDYn1IFDPWt_1FKiwhDph83XaGc0o0/edit?usp=sharing"",""งบพรบ!AV45"")"),45980)</f>
        <v>45980</v>
      </c>
      <c r="N93" s="93">
        <f ca="1">IFERROR(__xludf.DUMMYFUNCTION("IMPORTRANGE(""https://docs.google.com/spreadsheets/d/1MeEWN-I1oV_STSDYn1IFDPWt_1FKiwhDph83XaGc0o0/edit?usp=sharing"",""งบพรบ!AX45"")"),0)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349050</v>
      </c>
      <c r="O132" s="155">
        <f t="shared" ref="O132:O140" ca="1" si="70">IF(L132&gt;0,N132*100/L132,0)</f>
        <v>76.720187267152411</v>
      </c>
      <c r="P132" s="155">
        <f t="shared" ref="P132:P140" ca="1" si="71">IF(M132&gt;0,N132*100/M132,0)</f>
        <v>87.088323353293418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349050</v>
      </c>
      <c r="O134" s="93">
        <f t="shared" ca="1" si="70"/>
        <v>76.720187267152411</v>
      </c>
      <c r="P134" s="93">
        <f t="shared" ca="1" si="71"/>
        <v>87.088323353293418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91800</v>
      </c>
      <c r="N135" s="497">
        <f t="shared" ca="1" si="73"/>
        <v>40050</v>
      </c>
      <c r="O135" s="497">
        <f t="shared" ca="1" si="70"/>
        <v>27.438084472305004</v>
      </c>
      <c r="P135" s="497">
        <f t="shared" ca="1" si="71"/>
        <v>43.627450980392155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IFERROR(__xludf.DUMMYFUNCTION("IMPORTRANGE(""https://docs.google.com/spreadsheets/d/1MeEWN-I1oV_STSDYn1IFDPWt_1FKiwhDph83XaGc0o0/edit?usp=sharing"",""งบพรบ!BP45"")"),91800)</f>
        <v>91800</v>
      </c>
      <c r="N137" s="93">
        <f ca="1">IFERROR(__xludf.DUMMYFUNCTION("IMPORTRANGE(""https://docs.google.com/spreadsheets/d/1MeEWN-I1oV_STSDYn1IFDPWt_1FKiwhDph83XaGc0o0/edit?usp=sharing"",""งบพรบ!BR45"")"),40050)</f>
        <v>40050</v>
      </c>
      <c r="O137" s="93">
        <f t="shared" ca="1" si="70"/>
        <v>27.438084472305004</v>
      </c>
      <c r="P137" s="93">
        <f t="shared" ca="1" si="71"/>
        <v>43.627450980392155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16060</v>
      </c>
      <c r="O149" s="155">
        <f t="shared" ref="O149:O157" ca="1" si="78">IF(L149&gt;0,N149*100/L149,0)</f>
        <v>160.6</v>
      </c>
      <c r="P149" s="155">
        <f t="shared" ref="P149:P157" ca="1" si="79">IF(M149&gt;0,N149*100/M149,0)</f>
        <v>51.146496815286625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16060</v>
      </c>
      <c r="O151" s="93">
        <f t="shared" ca="1" si="78"/>
        <v>160.6</v>
      </c>
      <c r="P151" s="93">
        <f t="shared" ca="1" si="79"/>
        <v>51.146496815286625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16060</v>
      </c>
      <c r="O152" s="497">
        <f t="shared" ca="1" si="78"/>
        <v>160.6</v>
      </c>
      <c r="P152" s="497">
        <f t="shared" ca="1" si="79"/>
        <v>51.146496815286625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IFERROR(__xludf.DUMMYFUNCTION("IMPORTRANGE(""https://docs.google.com/spreadsheets/d/1MeEWN-I1oV_STSDYn1IFDPWt_1FKiwhDph83XaGc0o0/edit?usp=sharing"",""งบพรบ!CB45"")"),16060)</f>
        <v>16060</v>
      </c>
      <c r="O154" s="93">
        <f t="shared" ca="1" si="78"/>
        <v>160.6</v>
      </c>
      <c r="P154" s="93">
        <f t="shared" ca="1" si="79"/>
        <v>51.146496815286625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469725</v>
      </c>
      <c r="N181" s="155">
        <f t="shared" ca="1" si="92"/>
        <v>125036.16</v>
      </c>
      <c r="O181" s="155">
        <f t="shared" ref="O181:O189" ca="1" si="93">IF(L181&gt;0,N181*100/L181,0)</f>
        <v>21.890084033613444</v>
      </c>
      <c r="P181" s="155">
        <f t="shared" ref="P181:P189" ca="1" si="94">IF(M181&gt;0,N181*100/M181,0)</f>
        <v>26.619013252434936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571200</v>
      </c>
      <c r="M183" s="93">
        <f t="shared" ca="1" si="95"/>
        <v>469725</v>
      </c>
      <c r="N183" s="93">
        <f t="shared" ca="1" si="95"/>
        <v>125036.16</v>
      </c>
      <c r="O183" s="93">
        <f t="shared" ca="1" si="93"/>
        <v>21.890084033613444</v>
      </c>
      <c r="P183" s="93">
        <f t="shared" ca="1" si="94"/>
        <v>26.619013252434936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469725</v>
      </c>
      <c r="N184" s="497">
        <f t="shared" ca="1" si="96"/>
        <v>125036.16</v>
      </c>
      <c r="O184" s="497">
        <f t="shared" ca="1" si="93"/>
        <v>21.890084033613444</v>
      </c>
      <c r="P184" s="497">
        <f t="shared" ca="1" si="94"/>
        <v>26.619013252434936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IFERROR(__xludf.DUMMYFUNCTION("IMPORTRANGE(""https://docs.google.com/spreadsheets/d/1MeEWN-I1oV_STSDYn1IFDPWt_1FKiwhDph83XaGc0o0/edit?usp=sharing"",""งบพรบ!CT45"")"),469725)</f>
        <v>469725</v>
      </c>
      <c r="N186" s="93">
        <f ca="1">IFERROR(__xludf.DUMMYFUNCTION("IMPORTRANGE(""https://docs.google.com/spreadsheets/d/1MeEWN-I1oV_STSDYn1IFDPWt_1FKiwhDph83XaGc0o0/edit?usp=sharing"",""งบพรบ!CV45"")"),125036.16)</f>
        <v>125036.16</v>
      </c>
      <c r="O186" s="93">
        <f t="shared" ca="1" si="93"/>
        <v>21.890084033613444</v>
      </c>
      <c r="P186" s="93">
        <f t="shared" ca="1" si="94"/>
        <v>26.619013252434936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4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30080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30080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145600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20000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40</v>
      </c>
      <c r="J233" s="611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40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30080</v>
      </c>
      <c r="O238" s="155">
        <f ca="1">IF(L238&gt;0,N238*100/L238,0)</f>
        <v>8.883638511518015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53">
        <v>30080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40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94.555956678700355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94.555956678700355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94.555956678700355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IFERROR(__xludf.DUMMYFUNCTION("IMPORTRANGE(""https://docs.google.com/spreadsheets/d/1MeEWN-I1oV_STSDYn1IFDPWt_1FKiwhDph83XaGc0o0/edit?usp=sharing"",""งบพรบ!DD45"")"),27700)</f>
        <v>27700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94.555956678700355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300</v>
      </c>
      <c r="J276" s="855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34435</v>
      </c>
      <c r="O277" s="155">
        <f t="shared" ref="O277:O285" ca="1" si="126">IF(L277&gt;0,N277*100/L277,0)</f>
        <v>30.825351356190136</v>
      </c>
      <c r="P277" s="155">
        <f t="shared" ref="P277:P285" ca="1" si="127">IF(M277&gt;0,N277*100/M277,0)</f>
        <v>63.14872547221713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34435</v>
      </c>
      <c r="O279" s="93">
        <f t="shared" ca="1" si="126"/>
        <v>30.825351356190136</v>
      </c>
      <c r="P279" s="93">
        <f t="shared" ca="1" si="127"/>
        <v>63.14872547221713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34435</v>
      </c>
      <c r="O280" s="497">
        <f t="shared" ca="1" si="126"/>
        <v>30.825351356190136</v>
      </c>
      <c r="P280" s="497">
        <f t="shared" ca="1" si="127"/>
        <v>63.14872547221713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IFERROR(__xludf.DUMMYFUNCTION("IMPORTRANGE(""https://docs.google.com/spreadsheets/d/1MeEWN-I1oV_STSDYn1IFDPWt_1FKiwhDph83XaGc0o0/edit?usp=sharing"",""งบพรบ!DN45"")"),54530)</f>
        <v>54530</v>
      </c>
      <c r="N282" s="93">
        <f ca="1">IFERROR(__xludf.DUMMYFUNCTION("IMPORTRANGE(""https://docs.google.com/spreadsheets/d/1MeEWN-I1oV_STSDYn1IFDPWt_1FKiwhDph83XaGc0o0/edit?usp=sharing"",""งบพรบ!DP45"")"),34435)</f>
        <v>34435</v>
      </c>
      <c r="O282" s="93">
        <f t="shared" ca="1" si="126"/>
        <v>30.825351356190136</v>
      </c>
      <c r="P282" s="93">
        <f t="shared" ca="1" si="127"/>
        <v>63.14872547221713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IFERROR(__xludf.DUMMYFUNCTION("IMPORTRANGE(""https://docs.google.com/spreadsheets/d/1QqKyyYR6Q21VydFLVH3TRQUabQu_ym0Zz7PgGX0-kHA/edit?usp=sharing"",""แผน!EB45"")"),30)</f>
        <v>30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/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10</v>
      </c>
      <c r="K297" s="445">
        <f ca="1">IF(I297&gt;0,J297*100/I297,0)</f>
        <v>50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22280</v>
      </c>
      <c r="O298" s="155">
        <f t="shared" ref="O298:O306" ca="1" si="136">IF(L298&gt;0,N298*100/L298,0)</f>
        <v>27.038834951456312</v>
      </c>
      <c r="P298" s="155">
        <f t="shared" ref="P298:P306" ca="1" si="137">IF(M298&gt;0,N298*100/M298,0)</f>
        <v>45.358306188925084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22280</v>
      </c>
      <c r="O300" s="93">
        <f t="shared" ca="1" si="136"/>
        <v>27.038834951456312</v>
      </c>
      <c r="P300" s="93">
        <f t="shared" ca="1" si="137"/>
        <v>45.358306188925084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22280</v>
      </c>
      <c r="O301" s="497">
        <f t="shared" ca="1" si="136"/>
        <v>27.038834951456312</v>
      </c>
      <c r="P301" s="497">
        <f t="shared" ca="1" si="137"/>
        <v>45.358306188925084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IFERROR(__xludf.DUMMYFUNCTION("IMPORTRANGE(""https://docs.google.com/spreadsheets/d/1MeEWN-I1oV_STSDYn1IFDPWt_1FKiwhDph83XaGc0o0/edit?usp=sharing"",""งบพรบ!DX45"")"),49120)</f>
        <v>49120</v>
      </c>
      <c r="N303" s="93">
        <f ca="1">IFERROR(__xludf.DUMMYFUNCTION("IMPORTRANGE(""https://docs.google.com/spreadsheets/d/1MeEWN-I1oV_STSDYn1IFDPWt_1FKiwhDph83XaGc0o0/edit?usp=sharing"",""งบพรบ!DZ45"")"),22280)</f>
        <v>22280</v>
      </c>
      <c r="O303" s="93">
        <f t="shared" ca="1" si="136"/>
        <v>27.038834951456312</v>
      </c>
      <c r="P303" s="93">
        <f t="shared" ca="1" si="137"/>
        <v>45.358306188925084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10</v>
      </c>
      <c r="K309" s="497">
        <f t="shared" ref="K309:K312" ca="1" si="141">IF(I309&gt;0,J309*100/I309,0)</f>
        <v>50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/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1568</v>
      </c>
      <c r="K327" s="445">
        <f ca="1">IF(I327&gt;0,J327*100/I327,0)</f>
        <v>52.266666666666666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88000</v>
      </c>
      <c r="N328" s="155">
        <f t="shared" ca="1" si="149"/>
        <v>86200</v>
      </c>
      <c r="O328" s="155">
        <f t="shared" ref="O328:O336" ca="1" si="150">IF(L328&gt;0,N328*100/L328,0)</f>
        <v>48.977272727272727</v>
      </c>
      <c r="P328" s="155">
        <f t="shared" ref="P328:P336" ca="1" si="151">IF(M328&gt;0,N328*100/M328,0)</f>
        <v>97.954545454545453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176000</v>
      </c>
      <c r="M330" s="93">
        <f t="shared" ca="1" si="152"/>
        <v>88000</v>
      </c>
      <c r="N330" s="93">
        <f t="shared" ca="1" si="152"/>
        <v>86200</v>
      </c>
      <c r="O330" s="93">
        <f t="shared" ca="1" si="150"/>
        <v>48.977272727272727</v>
      </c>
      <c r="P330" s="93">
        <f t="shared" ca="1" si="151"/>
        <v>97.954545454545453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88000</v>
      </c>
      <c r="N331" s="497">
        <f t="shared" ca="1" si="153"/>
        <v>86200</v>
      </c>
      <c r="O331" s="497">
        <f t="shared" ca="1" si="150"/>
        <v>48.977272727272727</v>
      </c>
      <c r="P331" s="497">
        <f t="shared" ca="1" si="151"/>
        <v>97.954545454545453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IFERROR(__xludf.DUMMYFUNCTION("IMPORTRANGE(""https://docs.google.com/spreadsheets/d/1MeEWN-I1oV_STSDYn1IFDPWt_1FKiwhDph83XaGc0o0/edit?usp=sharing"",""งบพรบ!ER45"")"),88000)</f>
        <v>88000</v>
      </c>
      <c r="N333" s="93">
        <f ca="1">IFERROR(__xludf.DUMMYFUNCTION("IMPORTRANGE(""https://docs.google.com/spreadsheets/d/1MeEWN-I1oV_STSDYn1IFDPWt_1FKiwhDph83XaGc0o0/edit?usp=sharing"",""งบพรบ!ET45"")"),86200)</f>
        <v>86200</v>
      </c>
      <c r="O333" s="93">
        <f t="shared" ca="1" si="150"/>
        <v>48.977272727272727</v>
      </c>
      <c r="P333" s="93">
        <f t="shared" ca="1" si="151"/>
        <v>97.954545454545453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IFERROR(__xludf.DUMMYFUNCTION("IMPORTRANGE(""https://docs.google.com/spreadsheets/d/1kVcqe37tkHyjCSG3S0O1AXqVkqjo8mSIZil3BcpIysc/edit?usp=sharing"",""ศูนย์!D45"")"),1217)</f>
        <v>1217</v>
      </c>
      <c r="K338" s="497">
        <f ca="1">IF(I338&gt;0,J338*100/I338,0)</f>
        <v>40.56666666666667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IFERROR(__xludf.DUMMYFUNCTION("IMPORTRANGE(""https://docs.google.com/spreadsheets/d/1kVcqe37tkHyjCSG3S0O1AXqVkqjo8mSIZil3BcpIysc/edit?usp=sharing"",""ศูนย์!E45"")"),2)</f>
        <v>2</v>
      </c>
      <c r="K340" s="497">
        <f ca="1">IF(I340&gt;0,J340*100/I340,0)</f>
        <v>22.222222222222221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IFERROR(__xludf.DUMMYFUNCTION("IMPORTRANGE(""https://docs.google.com/spreadsheets/d/1kVcqe37tkHyjCSG3S0O1AXqVkqjo8mSIZil3BcpIysc/edit?usp=sharing"",""ศูนย์!F45"")"),351)</f>
        <v>351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997780</v>
      </c>
      <c r="N345" s="155">
        <f t="shared" ca="1" si="155"/>
        <v>571541</v>
      </c>
      <c r="O345" s="155">
        <f t="shared" ref="O345:O353" ca="1" si="156">IF(L345&gt;0,N345*100/L345,0)</f>
        <v>34.733576420540871</v>
      </c>
      <c r="P345" s="155">
        <f t="shared" ref="P345:P353" ca="1" si="157">IF(M345&gt;0,N345*100/M345,0)</f>
        <v>57.281264406983503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1645500</v>
      </c>
      <c r="M347" s="93">
        <f t="shared" ca="1" si="158"/>
        <v>997780</v>
      </c>
      <c r="N347" s="93">
        <f t="shared" ca="1" si="158"/>
        <v>571541</v>
      </c>
      <c r="O347" s="93">
        <f t="shared" ca="1" si="156"/>
        <v>34.733576420540871</v>
      </c>
      <c r="P347" s="93">
        <f t="shared" ca="1" si="157"/>
        <v>57.281264406983503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876180</v>
      </c>
      <c r="N348" s="497">
        <f t="shared" ca="1" si="159"/>
        <v>449941</v>
      </c>
      <c r="O348" s="497">
        <f t="shared" ca="1" si="156"/>
        <v>29.525625041013189</v>
      </c>
      <c r="P348" s="497">
        <f t="shared" ca="1" si="157"/>
        <v>51.352575954712499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IFERROR(__xludf.DUMMYFUNCTION("IMPORTRANGE(""https://docs.google.com/spreadsheets/d/1MeEWN-I1oV_STSDYn1IFDPWt_1FKiwhDph83XaGc0o0/edit?usp=sharing"",""งบพรบ!FB45"")"),876180)</f>
        <v>876180</v>
      </c>
      <c r="N350" s="93">
        <f ca="1">IFERROR(__xludf.DUMMYFUNCTION("IMPORTRANGE(""https://docs.google.com/spreadsheets/d/1MeEWN-I1oV_STSDYn1IFDPWt_1FKiwhDph83XaGc0o0/edit?usp=sharing"",""งบพรบ!FD45"")"),449941)</f>
        <v>449941</v>
      </c>
      <c r="O350" s="93">
        <f t="shared" ca="1" si="156"/>
        <v>29.525625041013189</v>
      </c>
      <c r="P350" s="93">
        <f t="shared" ca="1" si="157"/>
        <v>51.352575954712499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1</v>
      </c>
      <c r="K355" s="465">
        <f ca="1">IF(I355&gt;0,J355*100/I355,0)</f>
        <v>0.11904761904761904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IFERROR(__xludf.DUMMYFUNCTION("IMPORTRANGE(""https://docs.google.com/spreadsheets/d/1XWAQStnk-4SwqDmLtmXYiTMKHgktTP8We1SCoS47DrQ/edit?usp=sharing"",""จัดที่ดิน!W45"")"),494)</f>
        <v>494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IFERROR(__xludf.DUMMYFUNCTION("IMPORTRANGE(""https://docs.google.com/spreadsheets/d/1XWAQStnk-4SwqDmLtmXYiTMKHgktTP8We1SCoS47DrQ/edit?usp=sharing"",""จัดที่ดิน!X45"")"),3426.46)</f>
        <v>3426.46</v>
      </c>
      <c r="K359" s="497">
        <f t="shared" ca="1" si="161"/>
        <v>32.946730769230768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IFERROR(__xludf.DUMMYFUNCTION("IMPORTRANGE(""https://docs.google.com/spreadsheets/d/1XWAQStnk-4SwqDmLtmXYiTMKHgktTP8We1SCoS47DrQ/edit?usp=sharing"",""จัดที่ดิน!Y45"")"),374)</f>
        <v>374</v>
      </c>
      <c r="K360" s="497">
        <f t="shared" ca="1" si="161"/>
        <v>44.523809523809526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IFERROR(__xludf.DUMMYFUNCTION("IMPORTRANGE(""https://docs.google.com/spreadsheets/d/1XWAQStnk-4SwqDmLtmXYiTMKHgktTP8We1SCoS47DrQ/edit?usp=sharing"",""จัดที่ดิน!Z45"")"),2634.79)</f>
        <v>2634.79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IFERROR(__xludf.DUMMYFUNCTION("IMPORTRANGE(""https://docs.google.com/spreadsheets/d/1XWAQStnk-4SwqDmLtmXYiTMKHgktTP8We1SCoS47DrQ/edit?usp=sharing"",""จัดที่ดิน!AA45"")"),1)</f>
        <v>1</v>
      </c>
      <c r="K362" s="497">
        <f t="shared" ca="1" si="161"/>
        <v>0.11904761904761904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IFERROR(__xludf.DUMMYFUNCTION("IMPORTRANGE(""https://docs.google.com/spreadsheets/d/1XWAQStnk-4SwqDmLtmXYiTMKHgktTP8We1SCoS47DrQ/edit?usp=sharing"",""จัดที่ดิน!AB45"")"),8.16)</f>
        <v>8.16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45</v>
      </c>
      <c r="K364" s="479">
        <f t="shared" ca="1" si="161"/>
        <v>2.3809523809523809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1</v>
      </c>
      <c r="K365" s="491">
        <f t="shared" ca="1" si="161"/>
        <v>0.27027027027027029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IFERROR(__xludf.DUMMYFUNCTION("IMPORTRANGE(""https://docs.google.com/spreadsheets/d/1XWAQStnk-4SwqDmLtmXYiTMKHgktTP8We1SCoS47DrQ/edit?usp=sharing"",""จัดที่ดิน!E45"")"),62)</f>
        <v>62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IFERROR(__xludf.DUMMYFUNCTION("IMPORTRANGE(""https://docs.google.com/spreadsheets/d/1XWAQStnk-4SwqDmLtmXYiTMKHgktTP8We1SCoS47DrQ/edit?usp=sharing"",""จัดที่ดิน!F45"")"),717.53)</f>
        <v>717.53</v>
      </c>
      <c r="K369" s="497">
        <f t="shared" ca="1" si="163"/>
        <v>19.392702702702703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IFERROR(__xludf.DUMMYFUNCTION("IMPORTRANGE(""https://docs.google.com/spreadsheets/d/1XWAQStnk-4SwqDmLtmXYiTMKHgktTP8We1SCoS47DrQ/edit?usp=sharing"",""จัดที่ดิน!G45"")"),36)</f>
        <v>36</v>
      </c>
      <c r="K370" s="497">
        <f t="shared" ca="1" si="163"/>
        <v>9.7297297297297298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IFERROR(__xludf.DUMMYFUNCTION("IMPORTRANGE(""https://docs.google.com/spreadsheets/d/1XWAQStnk-4SwqDmLtmXYiTMKHgktTP8We1SCoS47DrQ/edit?usp=sharing"",""จัดที่ดิน!H45"")"),215.5)</f>
        <v>215.5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IFERROR(__xludf.DUMMYFUNCTION("IMPORTRANGE(""https://docs.google.com/spreadsheets/d/1XWAQStnk-4SwqDmLtmXYiTMKHgktTP8We1SCoS47DrQ/edit?usp=sharing"",""จัดที่ดิน!I45"")"),1)</f>
        <v>1</v>
      </c>
      <c r="K372" s="497">
        <f t="shared" ca="1" si="163"/>
        <v>0.27027027027027029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IFERROR(__xludf.DUMMYFUNCTION("IMPORTRANGE(""https://docs.google.com/spreadsheets/d/1XWAQStnk-4SwqDmLtmXYiTMKHgktTP8We1SCoS47DrQ/edit?usp=sharing"",""จัดที่ดิน!J45"")"),8.16)</f>
        <v>8.16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44</v>
      </c>
      <c r="K374" s="491">
        <f t="shared" ca="1" si="163"/>
        <v>2.8947368421052633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IFERROR(__xludf.DUMMYFUNCTION("IMPORTRANGE(""https://docs.google.com/spreadsheets/d/1XWAQStnk-4SwqDmLtmXYiTMKHgktTP8We1SCoS47DrQ/edit?usp=sharing"",""จัดที่ดิน!AH45"")"),433)</f>
        <v>433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IFERROR(__xludf.DUMMYFUNCTION("IMPORTRANGE(""https://docs.google.com/spreadsheets/d/1XWAQStnk-4SwqDmLtmXYiTMKHgktTP8We1SCoS47DrQ/edit?usp=sharing"",""จัดที่ดิน!AI45"")"),2725.18)</f>
        <v>2725.18</v>
      </c>
      <c r="K378" s="497">
        <f t="shared" ca="1" si="164"/>
        <v>40.674328358208953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IFERROR(__xludf.DUMMYFUNCTION("IMPORTRANGE(""https://docs.google.com/spreadsheets/d/1XWAQStnk-4SwqDmLtmXYiTMKHgktTP8We1SCoS47DrQ/edit?usp=sharing"",""จัดที่ดิน!AJ45"")"),421)</f>
        <v>421</v>
      </c>
      <c r="K379" s="497">
        <f t="shared" ca="1" si="164"/>
        <v>27.69736842105263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IFERROR(__xludf.DUMMYFUNCTION("IMPORTRANGE(""https://docs.google.com/spreadsheets/d/1XWAQStnk-4SwqDmLtmXYiTMKHgktTP8We1SCoS47DrQ/edit?usp=sharing"",""จัดที่ดิน!AK45"")"),3302.64)</f>
        <v>3302.64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IFERROR(__xludf.DUMMYFUNCTION("IMPORTRANGE(""https://docs.google.com/spreadsheets/d/1XWAQStnk-4SwqDmLtmXYiTMKHgktTP8We1SCoS47DrQ/edit?usp=sharing"",""จัดที่ดิน!AL45"")"),44)</f>
        <v>44</v>
      </c>
      <c r="K381" s="497">
        <f t="shared" ca="1" si="164"/>
        <v>2.8947368421052633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IFERROR(__xludf.DUMMYFUNCTION("IMPORTRANGE(""https://docs.google.com/spreadsheets/d/1XWAQStnk-4SwqDmLtmXYiTMKHgktTP8We1SCoS47DrQ/edit?usp=sharing"",""จัดที่ดิน!AM45"")"),453.15)</f>
        <v>453.15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IFERROR(__xludf.DUMMYFUNCTION("IMPORTRANGE(""https://docs.google.com/spreadsheets/d/1QqKyyYR6Q21VydFLVH3TRQUabQu_ym0Zz7PgGX0-kHA/edit?usp=sharing"",""แผน!EW45"")"),150)</f>
        <v>150</v>
      </c>
      <c r="J385" s="500">
        <f ca="1">IFERROR(__xludf.DUMMYFUNCTION("IMPORTRANGE(""https://docs.google.com/spreadsheets/d/1XWAQStnk-4SwqDmLtmXYiTMKHgktTP8We1SCoS47DrQ/edit?usp=sharing"",""จัดที่ดิน!AP45"")"),0)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2822655</v>
      </c>
      <c r="M414" s="548">
        <f t="shared" si="181"/>
        <v>0</v>
      </c>
      <c r="N414" s="548">
        <f t="shared" si="181"/>
        <v>584734.64</v>
      </c>
      <c r="O414" s="548">
        <f ca="1">IF(L414&gt;0,N414*100/L414,0)</f>
        <v>20.715767247502793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si="184"/>
        <v>0</v>
      </c>
      <c r="N419" s="155">
        <f t="shared" si="184"/>
        <v>22695</v>
      </c>
      <c r="O419" s="155">
        <f t="shared" ref="O419:O424" ca="1" si="185">IF(L419&gt;0,N419*100/L419,0)</f>
        <v>21.957236842105264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103360</v>
      </c>
      <c r="M421" s="93">
        <f t="shared" si="187"/>
        <v>0</v>
      </c>
      <c r="N421" s="93">
        <f t="shared" si="187"/>
        <v>22695</v>
      </c>
      <c r="O421" s="93">
        <f t="shared" ca="1" si="185"/>
        <v>21.957236842105264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si="188"/>
        <v>0</v>
      </c>
      <c r="N422" s="497">
        <f t="shared" si="188"/>
        <v>22695</v>
      </c>
      <c r="O422" s="497">
        <f t="shared" ca="1" si="185"/>
        <v>21.957236842105264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v>0</v>
      </c>
      <c r="N424" s="93">
        <f>N425+N426+N427+N428</f>
        <v>22695</v>
      </c>
      <c r="O424" s="93">
        <f t="shared" ca="1" si="185"/>
        <v>21.957236842105264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22695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IFERROR(__xludf.DUMMYFUNCTION("IMPORTRANGE(""https://docs.google.com/spreadsheets/d/1QqKyyYR6Q21VydFLVH3TRQUabQu_ym0Zz7PgGX0-kHA/edit?usp=sharing"",""แผน!FC45"")"),20)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IFERROR(__xludf.DUMMYFUNCTION("IMPORTRANGE(""https://docs.google.com/spreadsheets/d/1QqKyyYR6Q21VydFLVH3TRQUabQu_ym0Zz7PgGX0-kHA/edit?usp=sharing"",""แผน!FD45"")"),0)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IFERROR(__xludf.DUMMYFUNCTION("IMPORTRANGE(""https://docs.google.com/spreadsheets/d/1QqKyyYR6Q21VydFLVH3TRQUabQu_ym0Zz7PgGX0-kHA/edit?usp=sharing"",""แผน!FF45"")"),20)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70</v>
      </c>
      <c r="J442" s="584">
        <f t="shared" si="195"/>
        <v>48</v>
      </c>
      <c r="K442" s="585">
        <f t="shared" ca="1" si="194"/>
        <v>68.571428571428569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180</v>
      </c>
      <c r="J443" s="564">
        <f t="shared" si="196"/>
        <v>136</v>
      </c>
      <c r="K443" s="565">
        <f t="shared" ca="1" si="194"/>
        <v>75.555555555555557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si="197"/>
        <v>0</v>
      </c>
      <c r="N444" s="195">
        <f t="shared" si="197"/>
        <v>111280</v>
      </c>
      <c r="O444" s="195">
        <f t="shared" ref="O444:O449" ca="1" si="198">IF(L444&gt;0,N444*100/L444,0)</f>
        <v>23.737201365187712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468800</v>
      </c>
      <c r="M446" s="93">
        <f t="shared" si="200"/>
        <v>0</v>
      </c>
      <c r="N446" s="93">
        <f t="shared" si="200"/>
        <v>111280</v>
      </c>
      <c r="O446" s="93">
        <f t="shared" ca="1" si="198"/>
        <v>23.737201365187712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si="201"/>
        <v>0</v>
      </c>
      <c r="N447" s="497">
        <f t="shared" si="201"/>
        <v>111280</v>
      </c>
      <c r="O447" s="497">
        <f t="shared" ca="1" si="198"/>
        <v>23.737201365187712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v>0</v>
      </c>
      <c r="N449" s="93">
        <f>N450+N451+N452+N453</f>
        <v>111280</v>
      </c>
      <c r="O449" s="93">
        <f t="shared" ca="1" si="198"/>
        <v>23.737201365187712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56000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16280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48</v>
      </c>
      <c r="K460" s="497">
        <f ca="1">IF(I460&gt;0,J460*100/I460,0)</f>
        <v>68.571428571428569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136</v>
      </c>
      <c r="K462" s="497">
        <f ca="1">IF(I462&gt;0,J462*100/I462,0)</f>
        <v>75.555555555555557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IFERROR(__xludf.DUMMYFUNCTION("IMPORTRANGE(""https://docs.google.com/spreadsheets/d/1QqKyyYR6Q21VydFLVH3TRQUabQu_ym0Zz7PgGX0-kHA/edit?usp=sharing"",""แผน!FX45"")"),61)</f>
        <v>61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IFERROR(__xludf.DUMMYFUNCTION("IMPORTRANGE(""https://docs.google.com/spreadsheets/d/1QqKyyYR6Q21VydFLVH3TRQUabQu_ym0Zz7PgGX0-kHA/edit?usp=sharing"",""แผน!FW45"")"),600)</f>
        <v>600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si="206"/>
        <v>0</v>
      </c>
      <c r="N467" s="195">
        <f t="shared" si="206"/>
        <v>32850</v>
      </c>
      <c r="O467" s="195">
        <f t="shared" ref="O467:O472" ca="1" si="207">IF(L467&gt;0,N467*100/L467,0)</f>
        <v>6.6694684525005936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492543</v>
      </c>
      <c r="M469" s="93">
        <f t="shared" si="209"/>
        <v>0</v>
      </c>
      <c r="N469" s="93">
        <f t="shared" si="209"/>
        <v>32850</v>
      </c>
      <c r="O469" s="93">
        <f t="shared" ca="1" si="207"/>
        <v>6.6694684525005936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si="210"/>
        <v>0</v>
      </c>
      <c r="N470" s="497">
        <f t="shared" si="210"/>
        <v>32850</v>
      </c>
      <c r="O470" s="497">
        <f t="shared" ca="1" si="207"/>
        <v>6.6694684525005936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v>0</v>
      </c>
      <c r="N472" s="93">
        <f>N473+N474+N475+N476</f>
        <v>32850</v>
      </c>
      <c r="O472" s="93">
        <f t="shared" ca="1" si="207"/>
        <v>6.6694684525005936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32850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IFERROR(__xludf.DUMMYFUNCTION("IMPORTRANGE(""https://docs.google.com/spreadsheets/d/1QqKyyYR6Q21VydFLVH3TRQUabQu_ym0Zz7PgGX0-kHA/edit?usp=sharing"",""แผน!GU45"")"),0)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59640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si="236"/>
        <v>0</v>
      </c>
      <c r="N544" s="155">
        <f t="shared" si="236"/>
        <v>136192</v>
      </c>
      <c r="O544" s="155">
        <f t="shared" ref="O544:O549" ca="1" si="237">IF(L544&gt;0,N544*100/L544,0)</f>
        <v>33.839716544667574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402462</v>
      </c>
      <c r="M546" s="93">
        <f t="shared" si="240"/>
        <v>0</v>
      </c>
      <c r="N546" s="93">
        <f t="shared" si="240"/>
        <v>136192</v>
      </c>
      <c r="O546" s="93">
        <f t="shared" ca="1" si="237"/>
        <v>33.839716544667574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si="241"/>
        <v>0</v>
      </c>
      <c r="N547" s="497">
        <f t="shared" si="241"/>
        <v>136192</v>
      </c>
      <c r="O547" s="497">
        <f t="shared" ca="1" si="237"/>
        <v>33.839716544667574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v>0</v>
      </c>
      <c r="N549" s="93">
        <f>N550+N551+N552+N553+N554</f>
        <v>136192</v>
      </c>
      <c r="O549" s="93">
        <f t="shared" ca="1" si="237"/>
        <v>33.839716544667574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97192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59640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44662.369999999995</v>
      </c>
      <c r="K560" s="411">
        <f t="shared" ca="1" si="246"/>
        <v>74.886602951039578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5192</v>
      </c>
      <c r="K561" s="411">
        <f t="shared" ca="1" si="246"/>
        <v>70.591434398368463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33875.85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4307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10091.16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801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695.36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/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/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/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/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/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/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/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/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/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/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/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/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1220.5999999999999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IFERROR(__xludf.DUMMYFUNCTION("IMPORTRANGE(""https://docs.google.com/spreadsheets/d/1QqKyyYR6Q21VydFLVH3TRQUabQu_ym0Zz7PgGX0-kHA/edit?usp=sharing"",""แผน!HL45"")"),24)</f>
        <v>24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IFERROR(__xludf.DUMMYFUNCTION("IMPORTRANGE(""https://docs.google.com/spreadsheets/d/1QqKyyYR6Q21VydFLVH3TRQUabQu_ym0Zz7PgGX0-kHA/edit?usp=sharing"",""แผน!HK45"")"),1)</f>
        <v>1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/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/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/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/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/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/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1200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si="263"/>
        <v>0</v>
      </c>
      <c r="N629" s="195">
        <f t="shared" si="263"/>
        <v>166025</v>
      </c>
      <c r="O629" s="195">
        <f t="shared" ref="O629:O634" ca="1" si="264">IF(L629&gt;0,N629*100/L629,0)</f>
        <v>14.366622534894386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1155630</v>
      </c>
      <c r="M631" s="93">
        <f t="shared" si="266"/>
        <v>0</v>
      </c>
      <c r="N631" s="93">
        <f t="shared" si="266"/>
        <v>166025</v>
      </c>
      <c r="O631" s="93">
        <f t="shared" ca="1" si="264"/>
        <v>14.366622534894386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si="267"/>
        <v>0</v>
      </c>
      <c r="N632" s="497">
        <f t="shared" si="267"/>
        <v>166025</v>
      </c>
      <c r="O632" s="497">
        <f t="shared" ca="1" si="264"/>
        <v>14.366622534894386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v>0</v>
      </c>
      <c r="N634" s="93">
        <f>N635+N636+N637+N638</f>
        <v>166025</v>
      </c>
      <c r="O634" s="93">
        <f t="shared" ca="1" si="264"/>
        <v>14.366622534894386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78000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88025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IFERROR(__xludf.DUMMYFUNCTION("IMPORTRANGE(""https://docs.google.com/spreadsheets/d/1XWAQStnk-4SwqDmLtmXYiTMKHgktTP8We1SCoS47DrQ/edit?usp=sharing"",""จัดที่ดิน!AS45"")"),347)</f>
        <v>347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IFERROR(__xludf.DUMMYFUNCTION("IMPORTRANGE(""https://docs.google.com/spreadsheets/d/1XWAQStnk-4SwqDmLtmXYiTMKHgktTP8We1SCoS47DrQ/edit?usp=sharing"",""จัดที่ดิน!AT45"")"),170.9)</f>
        <v>170.9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IFERROR(__xludf.DUMMYFUNCTION("IMPORTRANGE(""https://docs.google.com/spreadsheets/d/1XWAQStnk-4SwqDmLtmXYiTMKHgktTP8We1SCoS47DrQ/edit?usp=sharing"",""จัดที่ดิน!AU45"")"),47)</f>
        <v>47</v>
      </c>
      <c r="K647" s="163">
        <f t="shared" ca="1" si="271"/>
        <v>3.9166666666666665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IFERROR(__xludf.DUMMYFUNCTION("IMPORTRANGE(""https://docs.google.com/spreadsheets/d/1XWAQStnk-4SwqDmLtmXYiTMKHgktTP8We1SCoS47DrQ/edit?usp=sharing"",""จัดที่ดิน!AV45"")"),25.18)</f>
        <v>25.18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IFERROR(__xludf.DUMMYFUNCTION("IMPORTRANGE(""https://docs.google.com/spreadsheets/d/1XWAQStnk-4SwqDmLtmXYiTMKHgktTP8We1SCoS47DrQ/edit?usp=sharing"",""จัดที่ดิน!AW45"")"),46)</f>
        <v>46</v>
      </c>
      <c r="K649" s="163">
        <f t="shared" ca="1" si="271"/>
        <v>3.8333333333333335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IFERROR(__xludf.DUMMYFUNCTION("IMPORTRANGE(""https://docs.google.com/spreadsheets/d/1XWAQStnk-4SwqDmLtmXYiTMKHgktTP8We1SCoS47DrQ/edit?usp=sharing"",""จัดที่ดิน!AX45"")"),25.54)</f>
        <v>25.54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IFERROR(__xludf.DUMMYFUNCTION("IMPORTRANGE(""https://docs.google.com/spreadsheets/d/1XWAQStnk-4SwqDmLtmXYiTMKHgktTP8We1SCoS47DrQ/edit?usp=sharing"",""จัดที่ดิน!AZ45"")"),0)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IFERROR(__xludf.DUMMYFUNCTION("IMPORTRANGE(""https://docs.google.com/spreadsheets/d/1QqKyyYR6Q21VydFLVH3TRQUabQu_ym0Zz7PgGX0-kHA/edit?usp=sharing"",""แผน!IA45"")"),0)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1940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IFERROR(__xludf.DUMMYFUNCTION("IMPORTRANGE(""https://docs.google.com/spreadsheets/d/1QqKyyYR6Q21VydFLVH3TRQUabQu_ym0Zz7PgGX0-kHA/edit?usp=sharing"",""แผน!IE45"")"),47)</f>
        <v>47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IFERROR(__xludf.DUMMYFUNCTION("IMPORTRANGE(""https://docs.google.com/spreadsheets/d/1QqKyyYR6Q21VydFLVH3TRQUabQu_ym0Zz7PgGX0-kHA/edit?usp=sharing"",""แผน!IH45"")"),0)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IFERROR(__xludf.DUMMYFUNCTION("IMPORTRANGE(""https://docs.google.com/spreadsheets/d/1QqKyyYR6Q21VydFLVH3TRQUabQu_ym0Zz7PgGX0-kHA/edit?usp=sharing"",""แผน!IJ45"")"),0)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IFERROR(__xludf.DUMMYFUNCTION("IMPORTRANGE(""https://docs.google.com/spreadsheets/d/1QqKyyYR6Q21VydFLVH3TRQUabQu_ym0Zz7PgGX0-kHA/edit?usp=sharing"",""แผน!IK45"")"),0)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IFERROR(__xludf.DUMMYFUNCTION("IMPORTRANGE(""https://docs.google.com/spreadsheets/d/1QqKyyYR6Q21VydFLVH3TRQUabQu_ym0Zz7PgGX0-kHA/edit?usp=sharing"",""แผน!IP45"")"),0)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3000</v>
      </c>
      <c r="J785" s="801">
        <f t="shared" ca="1" si="318"/>
        <v>3768</v>
      </c>
      <c r="K785" s="802">
        <f ca="1">IF(I785&gt;0,J785*100/I785,0)</f>
        <v>125.6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197920</v>
      </c>
      <c r="M786" s="195">
        <f t="shared" si="319"/>
        <v>0</v>
      </c>
      <c r="N786" s="195">
        <f t="shared" si="319"/>
        <v>115692.64</v>
      </c>
      <c r="O786" s="195">
        <f t="shared" ref="O786:O791" ca="1" si="320">IF(L786&gt;0,N786*100/L786,0)</f>
        <v>58.454244139046082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197920</v>
      </c>
      <c r="M788" s="93">
        <f t="shared" si="322"/>
        <v>0</v>
      </c>
      <c r="N788" s="93">
        <f t="shared" si="322"/>
        <v>115692.64</v>
      </c>
      <c r="O788" s="93">
        <f t="shared" ca="1" si="320"/>
        <v>58.454244139046082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197920</v>
      </c>
      <c r="M789" s="497">
        <f t="shared" si="323"/>
        <v>0</v>
      </c>
      <c r="N789" s="497">
        <f t="shared" si="323"/>
        <v>115692.64</v>
      </c>
      <c r="O789" s="497">
        <f t="shared" ca="1" si="320"/>
        <v>58.454244139046082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v>0</v>
      </c>
      <c r="N791" s="93">
        <f>N792+N793+N794+N795</f>
        <v>115692.64</v>
      </c>
      <c r="O791" s="93">
        <f t="shared" ca="1" si="320"/>
        <v>58.454244139046082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42000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26000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v>47692.639999999999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IFERROR(__xludf.DUMMYFUNCTION("IMPORTRANGE(""https://docs.google.com/spreadsheets/d/1MaWodYyGHDf7siQLGxnXhG4mBNTNIuy296niS2xXulU/edit?usp=sharing"",""RTK!H45"")"),343)</f>
        <v>343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IFERROR(__xludf.DUMMYFUNCTION("IMPORTRANGE(""https://docs.google.com/spreadsheets/d/1MaWodYyGHDf7siQLGxnXhG4mBNTNIuy296niS2xXulU/edit?usp=sharing"",""RTK!G45"")"),3000)</f>
        <v>3000</v>
      </c>
      <c r="J801" s="816">
        <f ca="1">IFERROR(__xludf.DUMMYFUNCTION("IMPORTRANGE(""https://docs.google.com/spreadsheets/d/1MaWodYyGHDf7siQLGxnXhG4mBNTNIuy296niS2xXulU/edit?usp=sharing"",""RTK!I45"")"),3768)</f>
        <v>3768</v>
      </c>
      <c r="K801" s="817">
        <f ca="1">IF(I801&gt;0,J801*100/I801,0)</f>
        <v>125.6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IFERROR(__xludf.DUMMYFUNCTION("IMPORTRANGE(""https://docs.google.com/spreadsheets/d/1MaWodYyGHDf7siQLGxnXhG4mBNTNIuy296niS2xXulU/edit?usp=sharing"",""RTK!L45"")"),0)</f>
        <v>0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814" t="s">
        <v>46</v>
      </c>
      <c r="I803" s="815">
        <f ca="1">IFERROR(__xludf.DUMMYFUNCTION("IMPORTRANGE(""https://docs.google.com/spreadsheets/d/1MaWodYyGHDf7siQLGxnXhG4mBNTNIuy296niS2xXulU/edit?usp=sharing"",""RTK!K45"")"),0)</f>
        <v>0</v>
      </c>
      <c r="J803" s="816">
        <f ca="1">IFERROR(__xludf.DUMMYFUNCTION("IMPORTRANGE(""https://docs.google.com/spreadsheets/d/1MaWodYyGHDf7siQLGxnXhG4mBNTNIuy296niS2xXulU/edit?usp=sharing"",""RTK!M45"")"),0)</f>
        <v>0</v>
      </c>
      <c r="K803" s="81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IFERROR(__xludf.DUMMYFUNCTION("IMPORTRANGE(""https://docs.google.com/spreadsheets/d/19vJNZY_5yjcGF2XGBMNZRCAIB0Kwfpjp8YEOfu-bneM/edit?usp=sharing"",""งานกองทุน!F45"")"),768841.34)</f>
        <v>768841.34</v>
      </c>
      <c r="K821" s="497">
        <f t="shared" ref="K821:K828" ca="1" si="336">IF(I821&gt;0,J821*100/I821,0)</f>
        <v>8.5660892892187821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IFERROR(__xludf.DUMMYFUNCTION("IMPORTRANGE(""https://docs.google.com/spreadsheets/d/19vJNZY_5yjcGF2XGBMNZRCAIB0Kwfpjp8YEOfu-bneM/edit?usp=sharing"",""งานกองทุน!E45"")"),67)</f>
        <v>67</v>
      </c>
      <c r="K822" s="497">
        <f t="shared" ca="1" si="336"/>
        <v>9.2541436464088402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IFERROR(__xludf.DUMMYFUNCTION("IMPORTRANGE(""https://docs.google.com/spreadsheets/d/19vJNZY_5yjcGF2XGBMNZRCAIB0Kwfpjp8YEOfu-bneM/edit?usp=sharing"",""งานกองทุน!K45"")"),615627.61)</f>
        <v>615627.61</v>
      </c>
      <c r="K823" s="497">
        <f t="shared" ca="1" si="336"/>
        <v>13.641934729593791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IFERROR(__xludf.DUMMYFUNCTION("IMPORTRANGE(""https://docs.google.com/spreadsheets/d/19vJNZY_5yjcGF2XGBMNZRCAIB0Kwfpjp8YEOfu-bneM/edit?usp=sharing"",""งานกองทุน!J45"")"),84)</f>
        <v>84</v>
      </c>
      <c r="K824" s="497">
        <f t="shared" ca="1" si="336"/>
        <v>37.668161434977577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IFERROR(__xludf.DUMMYFUNCTION("IMPORTRANGE(""https://docs.google.com/spreadsheets/d/19vJNZY_5yjcGF2XGBMNZRCAIB0Kwfpjp8YEOfu-bneM/edit?usp=sharing"",""งานกองทุน!U45"")"),2060000)</f>
        <v>2060000</v>
      </c>
      <c r="K827" s="497">
        <f t="shared" ca="1" si="336"/>
        <v>25.75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IFERROR(__xludf.DUMMYFUNCTION("IMPORTRANGE(""https://docs.google.com/spreadsheets/d/19vJNZY_5yjcGF2XGBMNZRCAIB0Kwfpjp8YEOfu-bneM/edit?usp=sharing"",""งานกองทุน!R45"")"),233)</f>
        <v>233</v>
      </c>
      <c r="J828" s="500">
        <f ca="1">IFERROR(__xludf.DUMMYFUNCTION("IMPORTRANGE(""https://docs.google.com/spreadsheets/d/19vJNZY_5yjcGF2XGBMNZRCAIB0Kwfpjp8YEOfu-bneM/edit?usp=sharing"",""งานกองทุน!T45"")"),46)</f>
        <v>46</v>
      </c>
      <c r="K828" s="501">
        <f t="shared" ca="1" si="336"/>
        <v>19.742489270386265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84C04-EA98-43A2-BBBC-E0FEA921E8C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352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3374318.8200000003</v>
      </c>
      <c r="N8" s="22">
        <f t="shared" ca="1" si="0"/>
        <v>2611359.5499999998</v>
      </c>
      <c r="O8" s="22">
        <f t="shared" ref="O8:O16" ca="1" si="1">IF(L8&gt;0,N8*100/L8,0)</f>
        <v>33.975909829864108</v>
      </c>
      <c r="P8" s="22">
        <f t="shared" ref="P8:P16" ca="1" si="2">IF(M8&gt;0,N8*100/M8,0)</f>
        <v>77.389235851756283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3374318.8200000003</v>
      </c>
      <c r="N10" s="30">
        <f t="shared" ca="1" si="3"/>
        <v>2611359.5499999998</v>
      </c>
      <c r="O10" s="30">
        <f t="shared" ca="1" si="1"/>
        <v>33.975909829864108</v>
      </c>
      <c r="P10" s="30">
        <f t="shared" ca="1" si="2"/>
        <v>77.389235851756283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7468815</v>
      </c>
      <c r="M11" s="497">
        <f t="shared" ca="1" si="4"/>
        <v>3159598.8200000003</v>
      </c>
      <c r="N11" s="497">
        <f t="shared" ca="1" si="4"/>
        <v>2396639.5499999998</v>
      </c>
      <c r="O11" s="497">
        <f t="shared" ca="1" si="1"/>
        <v>32.088618475621629</v>
      </c>
      <c r="P11" s="497">
        <f t="shared" ca="1" si="2"/>
        <v>75.852653660631489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7468815</v>
      </c>
      <c r="M13" s="93">
        <f t="shared" ca="1" si="5"/>
        <v>3159598.8200000003</v>
      </c>
      <c r="N13" s="93">
        <f t="shared" ca="1" si="5"/>
        <v>2396639.5499999998</v>
      </c>
      <c r="O13" s="93">
        <f t="shared" ca="1" si="1"/>
        <v>32.088618475621629</v>
      </c>
      <c r="P13" s="93">
        <f t="shared" ca="1" si="2"/>
        <v>75.852653660631489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3374318.8200000003</v>
      </c>
      <c r="N18" s="22">
        <f t="shared" ca="1" si="8"/>
        <v>1874513.45</v>
      </c>
      <c r="O18" s="22">
        <f t="shared" ref="O18:O26" ca="1" si="9">IF(L18&gt;0,N18*100/L18,0)</f>
        <v>42.011203878494925</v>
      </c>
      <c r="P18" s="22">
        <f t="shared" ref="P18:P26" ca="1" si="10">IF(M18&gt;0,N18*100/M18,0)</f>
        <v>55.552351452077659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3374318.8200000003</v>
      </c>
      <c r="N20" s="30">
        <f t="shared" ca="1" si="11"/>
        <v>1874513.45</v>
      </c>
      <c r="O20" s="30">
        <f t="shared" ca="1" si="9"/>
        <v>42.011203878494925</v>
      </c>
      <c r="P20" s="30">
        <f t="shared" ca="1" si="10"/>
        <v>55.552351452077659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3159598.8200000003</v>
      </c>
      <c r="N21" s="497">
        <f t="shared" ca="1" si="12"/>
        <v>1659793.45</v>
      </c>
      <c r="O21" s="497">
        <f t="shared" ca="1" si="9"/>
        <v>39.101464909017707</v>
      </c>
      <c r="P21" s="497">
        <f t="shared" ca="1" si="10"/>
        <v>52.531778385712897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4244837</v>
      </c>
      <c r="M23" s="93">
        <f t="shared" ca="1" si="13"/>
        <v>3159598.8200000003</v>
      </c>
      <c r="N23" s="93">
        <f t="shared" ca="1" si="13"/>
        <v>1659793.45</v>
      </c>
      <c r="O23" s="93">
        <f t="shared" ca="1" si="9"/>
        <v>39.101464909017707</v>
      </c>
      <c r="P23" s="93">
        <f t="shared" ca="1" si="10"/>
        <v>52.531778385712897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si="16"/>
        <v>0</v>
      </c>
      <c r="N28" s="22">
        <f t="shared" si="16"/>
        <v>736846.1</v>
      </c>
      <c r="O28" s="22">
        <f t="shared" ref="O28:O37" ca="1" si="17">IF(L28&gt;0,N28*100/L28,0)</f>
        <v>22.855183875324212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si="19"/>
        <v>0</v>
      </c>
      <c r="N30" s="30">
        <f t="shared" si="19"/>
        <v>736846.1</v>
      </c>
      <c r="O30" s="30">
        <f t="shared" ca="1" si="17"/>
        <v>22.855183875324212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3223978</v>
      </c>
      <c r="M31" s="497">
        <f t="shared" si="20"/>
        <v>0</v>
      </c>
      <c r="N31" s="497">
        <f t="shared" si="20"/>
        <v>736846.1</v>
      </c>
      <c r="O31" s="497">
        <f t="shared" ca="1" si="17"/>
        <v>22.855183875324212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3223978</v>
      </c>
      <c r="M33" s="93">
        <f t="shared" si="21"/>
        <v>0</v>
      </c>
      <c r="N33" s="93">
        <f t="shared" si="21"/>
        <v>736846.1</v>
      </c>
      <c r="O33" s="93">
        <f t="shared" ca="1" si="17"/>
        <v>22.855183875324212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4461937</v>
      </c>
      <c r="M37" s="843">
        <f t="shared" ca="1" si="24"/>
        <v>3374318.8200000003</v>
      </c>
      <c r="N37" s="843">
        <f t="shared" ca="1" si="24"/>
        <v>1874513.4500000002</v>
      </c>
      <c r="O37" s="843">
        <f t="shared" ca="1" si="17"/>
        <v>42.011203878494932</v>
      </c>
      <c r="P37" s="843">
        <f t="shared" ca="1" si="18"/>
        <v>55.552351452077673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444327.82</v>
      </c>
      <c r="N41" s="85">
        <f t="shared" ca="1" si="25"/>
        <v>187196</v>
      </c>
      <c r="O41" s="85">
        <f t="shared" ref="O41:O49" ca="1" si="26">IF(L41&gt;0,N41*100/L41,0)</f>
        <v>43.298129721377983</v>
      </c>
      <c r="P41" s="85">
        <f t="shared" ref="P41:P49" ca="1" si="27">IF(M41&gt;0,N41*100/M41,0)</f>
        <v>42.130155163365643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444327.82</v>
      </c>
      <c r="N43" s="92">
        <f t="shared" ca="1" si="28"/>
        <v>187196</v>
      </c>
      <c r="O43" s="92">
        <f t="shared" ca="1" si="26"/>
        <v>43.298129721377983</v>
      </c>
      <c r="P43" s="92">
        <f t="shared" ca="1" si="27"/>
        <v>42.130155163365643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444327.82</v>
      </c>
      <c r="N44" s="497">
        <f t="shared" ca="1" si="29"/>
        <v>187196</v>
      </c>
      <c r="O44" s="497">
        <f t="shared" ca="1" si="26"/>
        <v>43.298129721377983</v>
      </c>
      <c r="P44" s="497">
        <f t="shared" ca="1" si="27"/>
        <v>42.130155163365643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IFERROR(__xludf.DUMMYFUNCTION("IMPORTRANGE(""https://docs.google.com/spreadsheets/d/1MeEWN-I1oV_STSDYn1IFDPWt_1FKiwhDph83XaGc0o0/edit?usp=sharing"",""งบพรบ!R46"")"),444327.82)</f>
        <v>444327.82</v>
      </c>
      <c r="N46" s="93">
        <f ca="1">IFERROR(__xludf.DUMMYFUNCTION("IMPORTRANGE(""https://docs.google.com/spreadsheets/d/1MeEWN-I1oV_STSDYn1IFDPWt_1FKiwhDph83XaGc0o0/edit?usp=sharing"",""งบพรบ!T46"")"),187196)</f>
        <v>187196</v>
      </c>
      <c r="O46" s="93">
        <f t="shared" ca="1" si="26"/>
        <v>43.298129721377983</v>
      </c>
      <c r="P46" s="93">
        <f t="shared" ca="1" si="27"/>
        <v>42.130155163365643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688320</v>
      </c>
      <c r="N53" s="116">
        <f t="shared" ca="1" si="31"/>
        <v>468658.7</v>
      </c>
      <c r="O53" s="116">
        <f t="shared" ref="O53:O61" ca="1" si="32">IF(L53&gt;0,N53*100/L53,0)</f>
        <v>56.745211284659163</v>
      </c>
      <c r="P53" s="116">
        <f t="shared" ref="P53:P61" ca="1" si="33">IF(M53&gt;0,N53*100/M53,0)</f>
        <v>68.08732856810785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688320</v>
      </c>
      <c r="N55" s="123">
        <f t="shared" ca="1" si="34"/>
        <v>468658.7</v>
      </c>
      <c r="O55" s="123">
        <f t="shared" ca="1" si="32"/>
        <v>56.745211284659163</v>
      </c>
      <c r="P55" s="123">
        <f t="shared" ca="1" si="33"/>
        <v>68.08732856810785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638620</v>
      </c>
      <c r="N56" s="497">
        <f t="shared" ca="1" si="35"/>
        <v>418958.7</v>
      </c>
      <c r="O56" s="497">
        <f t="shared" ca="1" si="32"/>
        <v>53.989523195876288</v>
      </c>
      <c r="P56" s="497">
        <f t="shared" ca="1" si="33"/>
        <v>65.603754971657636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IFERROR(__xludf.DUMMYFUNCTION("IMPORTRANGE(""https://docs.google.com/spreadsheets/d/1MeEWN-I1oV_STSDYn1IFDPWt_1FKiwhDph83XaGc0o0/edit?usp=sharing"",""งบพรบ!AB46"")"),638620)</f>
        <v>638620</v>
      </c>
      <c r="N58" s="93">
        <f ca="1">IFERROR(__xludf.DUMMYFUNCTION("IMPORTRANGE(""https://docs.google.com/spreadsheets/d/1MeEWN-I1oV_STSDYn1IFDPWt_1FKiwhDph83XaGc0o0/edit?usp=sharing"",""งบพรบ!AD46"")"),418958.7)</f>
        <v>418958.7</v>
      </c>
      <c r="O58" s="93">
        <f t="shared" ca="1" si="32"/>
        <v>53.989523195876288</v>
      </c>
      <c r="P58" s="93">
        <f t="shared" ca="1" si="33"/>
        <v>65.603754971657636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35060</v>
      </c>
      <c r="N88" s="155">
        <f t="shared" ca="1" si="49"/>
        <v>26160</v>
      </c>
      <c r="O88" s="155">
        <f t="shared" ref="O88:O96" ca="1" si="50">IF(L88&gt;0,N88*100/L88,0)</f>
        <v>26.488456865127581</v>
      </c>
      <c r="P88" s="155">
        <f t="shared" ref="P88:P96" ca="1" si="51">IF(M88&gt;0,N88*100/M88,0)</f>
        <v>74.614945807187681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98760</v>
      </c>
      <c r="M90" s="93">
        <f t="shared" ca="1" si="52"/>
        <v>35060</v>
      </c>
      <c r="N90" s="93">
        <f t="shared" ca="1" si="52"/>
        <v>26160</v>
      </c>
      <c r="O90" s="93">
        <f t="shared" ca="1" si="50"/>
        <v>26.488456865127581</v>
      </c>
      <c r="P90" s="93">
        <f t="shared" ca="1" si="51"/>
        <v>74.614945807187681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35060</v>
      </c>
      <c r="N91" s="497">
        <f t="shared" ca="1" si="53"/>
        <v>26160</v>
      </c>
      <c r="O91" s="497">
        <f t="shared" ca="1" si="50"/>
        <v>26.488456865127581</v>
      </c>
      <c r="P91" s="497">
        <f t="shared" ca="1" si="51"/>
        <v>74.614945807187681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IFERROR(__xludf.DUMMYFUNCTION("IMPORTRANGE(""https://docs.google.com/spreadsheets/d/1MeEWN-I1oV_STSDYn1IFDPWt_1FKiwhDph83XaGc0o0/edit?usp=sharing"",""งบพรบ!AV46"")"),35060)</f>
        <v>35060</v>
      </c>
      <c r="N93" s="93">
        <f ca="1">IFERROR(__xludf.DUMMYFUNCTION("IMPORTRANGE(""https://docs.google.com/spreadsheets/d/1MeEWN-I1oV_STSDYn1IFDPWt_1FKiwhDph83XaGc0o0/edit?usp=sharing"",""งบพรบ!AX46"")"),26160)</f>
        <v>26160</v>
      </c>
      <c r="O93" s="93">
        <f t="shared" ca="1" si="50"/>
        <v>26.488456865127581</v>
      </c>
      <c r="P93" s="93">
        <f t="shared" ca="1" si="51"/>
        <v>74.614945807187681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IFERROR(__xludf.DUMMYFUNCTION("IMPORTRANGE(""https://docs.google.com/spreadsheets/d/1MeEWN-I1oV_STSDYn1IFDPWt_1FKiwhDph83XaGc0o0/edit?usp=sharing"",""งบพรบ!CJ46"")"),22055)</f>
        <v>22055</v>
      </c>
      <c r="N170" s="93">
        <f ca="1">IFERROR(__xludf.DUMMYFUNCTION("IMPORTRANGE(""https://docs.google.com/spreadsheets/d/1MeEWN-I1oV_STSDYn1IFDPWt_1FKiwhDph83XaGc0o0/edit?usp=sharing"",""งบพรบ!CL46"")"),22055)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102500</v>
      </c>
      <c r="N181" s="155">
        <f t="shared" ca="1" si="92"/>
        <v>49989.25</v>
      </c>
      <c r="O181" s="155">
        <f t="shared" ref="O181:O189" ca="1" si="93">IF(L181&gt;0,N181*100/L181,0)</f>
        <v>46.115544280442805</v>
      </c>
      <c r="P181" s="155">
        <f t="shared" ref="P181:P189" ca="1" si="94">IF(M181&gt;0,N181*100/M181,0)</f>
        <v>48.77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108400</v>
      </c>
      <c r="M183" s="93">
        <f t="shared" ca="1" si="95"/>
        <v>102500</v>
      </c>
      <c r="N183" s="93">
        <f t="shared" ca="1" si="95"/>
        <v>49989.25</v>
      </c>
      <c r="O183" s="93">
        <f t="shared" ca="1" si="93"/>
        <v>46.115544280442805</v>
      </c>
      <c r="P183" s="93">
        <f t="shared" ca="1" si="94"/>
        <v>48.77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102500</v>
      </c>
      <c r="N184" s="497">
        <f t="shared" ca="1" si="96"/>
        <v>49989.25</v>
      </c>
      <c r="O184" s="497">
        <f t="shared" ca="1" si="93"/>
        <v>46.115544280442805</v>
      </c>
      <c r="P184" s="497">
        <f t="shared" ca="1" si="94"/>
        <v>48.77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IFERROR(__xludf.DUMMYFUNCTION("IMPORTRANGE(""https://docs.google.com/spreadsheets/d/1MeEWN-I1oV_STSDYn1IFDPWt_1FKiwhDph83XaGc0o0/edit?usp=sharing"",""งบพรบ!CT46"")"),102500)</f>
        <v>102500</v>
      </c>
      <c r="N186" s="93">
        <f ca="1">IFERROR(__xludf.DUMMYFUNCTION("IMPORTRANGE(""https://docs.google.com/spreadsheets/d/1MeEWN-I1oV_STSDYn1IFDPWt_1FKiwhDph83XaGc0o0/edit?usp=sharing"",""งบพรบ!CV46"")"),49989.25)</f>
        <v>49989.25</v>
      </c>
      <c r="O186" s="93">
        <f t="shared" ca="1" si="93"/>
        <v>46.115544280442805</v>
      </c>
      <c r="P186" s="93">
        <f t="shared" ca="1" si="94"/>
        <v>48.77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23834</v>
      </c>
      <c r="O198" s="155">
        <f ca="1">IF(L198&gt;0,N198*100/L198,0)</f>
        <v>61.112820512820512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4">
        <v>23834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25155.25</v>
      </c>
      <c r="O209" s="155">
        <f ca="1">IF(L209&gt;0,N209*100/L209,0)</f>
        <v>44.920089285714283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4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85.669456066945614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85.669456066945614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85.669456066945614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IFERROR(__xludf.DUMMYFUNCTION("IMPORTRANGE(""https://docs.google.com/spreadsheets/d/1MeEWN-I1oV_STSDYn1IFDPWt_1FKiwhDph83XaGc0o0/edit?usp=sharing"",""งบพรบ!DD46"")"),23900)</f>
        <v>23900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85.669456066945614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376020</v>
      </c>
      <c r="N277" s="155">
        <f t="shared" ca="1" si="125"/>
        <v>199937.9</v>
      </c>
      <c r="O277" s="155">
        <f t="shared" ref="O277:O285" ca="1" si="126">IF(L277&gt;0,N277*100/L277,0)</f>
        <v>36.873944155508831</v>
      </c>
      <c r="P277" s="155">
        <f t="shared" ref="P277:P285" ca="1" si="127">IF(M277&gt;0,N277*100/M277,0)</f>
        <v>53.172145098664963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542220</v>
      </c>
      <c r="M279" s="93">
        <f t="shared" ca="1" si="128"/>
        <v>376020</v>
      </c>
      <c r="N279" s="93">
        <f t="shared" ca="1" si="128"/>
        <v>199937.9</v>
      </c>
      <c r="O279" s="93">
        <f t="shared" ca="1" si="126"/>
        <v>36.873944155508831</v>
      </c>
      <c r="P279" s="93">
        <f t="shared" ca="1" si="127"/>
        <v>53.172145098664963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376020</v>
      </c>
      <c r="N280" s="497">
        <f t="shared" ca="1" si="129"/>
        <v>199937.9</v>
      </c>
      <c r="O280" s="497">
        <f t="shared" ca="1" si="126"/>
        <v>36.873944155508831</v>
      </c>
      <c r="P280" s="497">
        <f t="shared" ca="1" si="127"/>
        <v>53.172145098664963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IFERROR(__xludf.DUMMYFUNCTION("IMPORTRANGE(""https://docs.google.com/spreadsheets/d/1MeEWN-I1oV_STSDYn1IFDPWt_1FKiwhDph83XaGc0o0/edit?usp=sharing"",""งบพรบ!DN46"")"),376020)</f>
        <v>376020</v>
      </c>
      <c r="N282" s="93">
        <f ca="1">IFERROR(__xludf.DUMMYFUNCTION("IMPORTRANGE(""https://docs.google.com/spreadsheets/d/1MeEWN-I1oV_STSDYn1IFDPWt_1FKiwhDph83XaGc0o0/edit?usp=sharing"",""งบพรบ!DP46"")"),199937.9)</f>
        <v>199937.9</v>
      </c>
      <c r="O282" s="93">
        <f t="shared" ca="1" si="126"/>
        <v>36.873944155508831</v>
      </c>
      <c r="P282" s="93">
        <f t="shared" ca="1" si="127"/>
        <v>53.172145098664963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IFERROR(__xludf.DUMMYFUNCTION("IMPORTRANGE(""https://docs.google.com/spreadsheets/d/1QqKyyYR6Q21VydFLVH3TRQUabQu_ym0Zz7PgGX0-kHA/edit?usp=sharing"",""แผน!EB46"")"),25)</f>
        <v>25</v>
      </c>
      <c r="J288" s="675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27390</v>
      </c>
      <c r="O298" s="155">
        <f t="shared" ref="O298:O306" ca="1" si="136">IF(L298&gt;0,N298*100/L298,0)</f>
        <v>33.240291262135919</v>
      </c>
      <c r="P298" s="155">
        <f t="shared" ref="P298:P306" ca="1" si="137">IF(M298&gt;0,N298*100/M298,0)</f>
        <v>55.761400651465799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27390</v>
      </c>
      <c r="O300" s="93">
        <f t="shared" ca="1" si="136"/>
        <v>33.240291262135919</v>
      </c>
      <c r="P300" s="93">
        <f t="shared" ca="1" si="137"/>
        <v>55.761400651465799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27390</v>
      </c>
      <c r="O301" s="497">
        <f t="shared" ca="1" si="136"/>
        <v>33.240291262135919</v>
      </c>
      <c r="P301" s="497">
        <f t="shared" ca="1" si="137"/>
        <v>55.761400651465799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IFERROR(__xludf.DUMMYFUNCTION("IMPORTRANGE(""https://docs.google.com/spreadsheets/d/1MeEWN-I1oV_STSDYn1IFDPWt_1FKiwhDph83XaGc0o0/edit?usp=sharing"",""งบพรบ!DX46"")"),49120)</f>
        <v>49120</v>
      </c>
      <c r="N303" s="93">
        <f ca="1">IFERROR(__xludf.DUMMYFUNCTION("IMPORTRANGE(""https://docs.google.com/spreadsheets/d/1MeEWN-I1oV_STSDYn1IFDPWt_1FKiwhDph83XaGc0o0/edit?usp=sharing"",""งบพรบ!DZ46"")"),27390)</f>
        <v>27390</v>
      </c>
      <c r="O303" s="93">
        <f t="shared" ca="1" si="136"/>
        <v>33.240291262135919</v>
      </c>
      <c r="P303" s="93">
        <f t="shared" ca="1" si="137"/>
        <v>55.761400651465799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/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/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/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1977</v>
      </c>
      <c r="K327" s="445">
        <f ca="1">IF(I327&gt;0,J327*100/I327,0)</f>
        <v>37.301886792452834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89000</v>
      </c>
      <c r="N328" s="155">
        <f t="shared" ca="1" si="149"/>
        <v>71396</v>
      </c>
      <c r="O328" s="155">
        <f t="shared" ref="O328:O336" ca="1" si="150">IF(L328&gt;0,N328*100/L328,0)</f>
        <v>40.110112359550563</v>
      </c>
      <c r="P328" s="155">
        <f t="shared" ref="P328:P336" ca="1" si="151">IF(M328&gt;0,N328*100/M328,0)</f>
        <v>80.220224719101125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178000</v>
      </c>
      <c r="M330" s="93">
        <f t="shared" ca="1" si="152"/>
        <v>89000</v>
      </c>
      <c r="N330" s="93">
        <f t="shared" ca="1" si="152"/>
        <v>71396</v>
      </c>
      <c r="O330" s="93">
        <f t="shared" ca="1" si="150"/>
        <v>40.110112359550563</v>
      </c>
      <c r="P330" s="93">
        <f t="shared" ca="1" si="151"/>
        <v>80.220224719101125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89000</v>
      </c>
      <c r="N331" s="497">
        <f t="shared" ca="1" si="153"/>
        <v>71396</v>
      </c>
      <c r="O331" s="497">
        <f t="shared" ca="1" si="150"/>
        <v>40.110112359550563</v>
      </c>
      <c r="P331" s="497">
        <f t="shared" ca="1" si="151"/>
        <v>80.220224719101125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IFERROR(__xludf.DUMMYFUNCTION("IMPORTRANGE(""https://docs.google.com/spreadsheets/d/1MeEWN-I1oV_STSDYn1IFDPWt_1FKiwhDph83XaGc0o0/edit?usp=sharing"",""งบพรบ!ER46"")"),89000)</f>
        <v>89000</v>
      </c>
      <c r="N333" s="93">
        <f ca="1">IFERROR(__xludf.DUMMYFUNCTION("IMPORTRANGE(""https://docs.google.com/spreadsheets/d/1MeEWN-I1oV_STSDYn1IFDPWt_1FKiwhDph83XaGc0o0/edit?usp=sharing"",""งบพรบ!ET46"")"),71396)</f>
        <v>71396</v>
      </c>
      <c r="O333" s="93">
        <f t="shared" ca="1" si="150"/>
        <v>40.110112359550563</v>
      </c>
      <c r="P333" s="93">
        <f t="shared" ca="1" si="151"/>
        <v>80.220224719101125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IFERROR(__xludf.DUMMYFUNCTION("IMPORTRANGE(""https://docs.google.com/spreadsheets/d/1kVcqe37tkHyjCSG3S0O1AXqVkqjo8mSIZil3BcpIysc/edit?usp=sharing"",""ศูนย์!D46"")"),1948)</f>
        <v>1948</v>
      </c>
      <c r="K338" s="497">
        <f ca="1">IF(I338&gt;0,J338*100/I338,0)</f>
        <v>36.754716981132077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1544016</v>
      </c>
      <c r="N345" s="155">
        <f t="shared" ca="1" si="155"/>
        <v>801255.6</v>
      </c>
      <c r="O345" s="155">
        <f t="shared" ref="O345:O353" ca="1" si="156">IF(L345&gt;0,N345*100/L345,0)</f>
        <v>37.355270028345515</v>
      </c>
      <c r="P345" s="155">
        <f t="shared" ref="P345:P353" ca="1" si="157">IF(M345&gt;0,N345*100/M345,0)</f>
        <v>51.89425498181366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2144960</v>
      </c>
      <c r="M347" s="93">
        <f t="shared" ca="1" si="158"/>
        <v>1544016</v>
      </c>
      <c r="N347" s="93">
        <f t="shared" ca="1" si="158"/>
        <v>801255.6</v>
      </c>
      <c r="O347" s="93">
        <f t="shared" ca="1" si="156"/>
        <v>37.355270028345515</v>
      </c>
      <c r="P347" s="93">
        <f t="shared" ca="1" si="157"/>
        <v>51.89425498181366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1378996</v>
      </c>
      <c r="N348" s="497">
        <f t="shared" ca="1" si="159"/>
        <v>636235.6</v>
      </c>
      <c r="O348" s="497">
        <f t="shared" ca="1" si="156"/>
        <v>32.169504894426019</v>
      </c>
      <c r="P348" s="497">
        <f t="shared" ca="1" si="157"/>
        <v>46.137595758073267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IFERROR(__xludf.DUMMYFUNCTION("IMPORTRANGE(""https://docs.google.com/spreadsheets/d/1MeEWN-I1oV_STSDYn1IFDPWt_1FKiwhDph83XaGc0o0/edit?usp=sharing"",""งบพรบ!FB46"")"),1378996)</f>
        <v>1378996</v>
      </c>
      <c r="N350" s="93">
        <f ca="1">IFERROR(__xludf.DUMMYFUNCTION("IMPORTRANGE(""https://docs.google.com/spreadsheets/d/1MeEWN-I1oV_STSDYn1IFDPWt_1FKiwhDph83XaGc0o0/edit?usp=sharing"",""งบพรบ!FD46"")"),636235.6)</f>
        <v>636235.6</v>
      </c>
      <c r="O350" s="93">
        <f t="shared" ca="1" si="156"/>
        <v>32.169504894426019</v>
      </c>
      <c r="P350" s="93">
        <f t="shared" ca="1" si="157"/>
        <v>46.137595758073267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113</v>
      </c>
      <c r="K355" s="465">
        <f ca="1">IF(I355&gt;0,J355*100/I355,0)</f>
        <v>11.3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IFERROR(__xludf.DUMMYFUNCTION("IMPORTRANGE(""https://docs.google.com/spreadsheets/d/1XWAQStnk-4SwqDmLtmXYiTMKHgktTP8We1SCoS47DrQ/edit?usp=sharing"",""จัดที่ดิน!W46"")"),486)</f>
        <v>486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IFERROR(__xludf.DUMMYFUNCTION("IMPORTRANGE(""https://docs.google.com/spreadsheets/d/1XWAQStnk-4SwqDmLtmXYiTMKHgktTP8We1SCoS47DrQ/edit?usp=sharing"",""จัดที่ดิน!X46"")"),3350.17)</f>
        <v>3350.17</v>
      </c>
      <c r="K359" s="497">
        <f t="shared" ca="1" si="161"/>
        <v>33.5017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IFERROR(__xludf.DUMMYFUNCTION("IMPORTRANGE(""https://docs.google.com/spreadsheets/d/1XWAQStnk-4SwqDmLtmXYiTMKHgktTP8We1SCoS47DrQ/edit?usp=sharing"",""จัดที่ดิน!Y46"")"),308)</f>
        <v>308</v>
      </c>
      <c r="K360" s="497">
        <f t="shared" ca="1" si="161"/>
        <v>30.8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IFERROR(__xludf.DUMMYFUNCTION("IMPORTRANGE(""https://docs.google.com/spreadsheets/d/1XWAQStnk-4SwqDmLtmXYiTMKHgktTP8We1SCoS47DrQ/edit?usp=sharing"",""จัดที่ดิน!Z46"")"),2101.91999999999)</f>
        <v>2101.9199999999901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IFERROR(__xludf.DUMMYFUNCTION("IMPORTRANGE(""https://docs.google.com/spreadsheets/d/1XWAQStnk-4SwqDmLtmXYiTMKHgktTP8We1SCoS47DrQ/edit?usp=sharing"",""จัดที่ดิน!AA46"")"),113)</f>
        <v>113</v>
      </c>
      <c r="K362" s="497">
        <f t="shared" ca="1" si="161"/>
        <v>11.3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IFERROR(__xludf.DUMMYFUNCTION("IMPORTRANGE(""https://docs.google.com/spreadsheets/d/1XWAQStnk-4SwqDmLtmXYiTMKHgktTP8We1SCoS47DrQ/edit?usp=sharing"",""จัดที่ดิน!AB46"")"),733.6)</f>
        <v>733.6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314</v>
      </c>
      <c r="K364" s="479">
        <f t="shared" ca="1" si="161"/>
        <v>14.272727272727273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4</v>
      </c>
      <c r="K365" s="491">
        <f t="shared" ca="1" si="161"/>
        <v>1.3333333333333333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IFERROR(__xludf.DUMMYFUNCTION("IMPORTRANGE(""https://docs.google.com/spreadsheets/d/1XWAQStnk-4SwqDmLtmXYiTMKHgktTP8We1SCoS47DrQ/edit?usp=sharing"",""จัดที่ดิน!E46"")"),109)</f>
        <v>109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IFERROR(__xludf.DUMMYFUNCTION("IMPORTRANGE(""https://docs.google.com/spreadsheets/d/1XWAQStnk-4SwqDmLtmXYiTMKHgktTP8We1SCoS47DrQ/edit?usp=sharing"",""จัดที่ดิน!F46"")"),597.64)</f>
        <v>597.64</v>
      </c>
      <c r="K369" s="497">
        <f t="shared" ca="1" si="163"/>
        <v>19.921333333333333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IFERROR(__xludf.DUMMYFUNCTION("IMPORTRANGE(""https://docs.google.com/spreadsheets/d/1XWAQStnk-4SwqDmLtmXYiTMKHgktTP8We1SCoS47DrQ/edit?usp=sharing"",""จัดที่ดิน!G46"")"),4)</f>
        <v>4</v>
      </c>
      <c r="K370" s="497">
        <f t="shared" ca="1" si="163"/>
        <v>1.3333333333333333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IFERROR(__xludf.DUMMYFUNCTION("IMPORTRANGE(""https://docs.google.com/spreadsheets/d/1XWAQStnk-4SwqDmLtmXYiTMKHgktTP8We1SCoS47DrQ/edit?usp=sharing"",""จัดที่ดิน!H46"")"),25.45)</f>
        <v>25.45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IFERROR(__xludf.DUMMYFUNCTION("IMPORTRANGE(""https://docs.google.com/spreadsheets/d/1XWAQStnk-4SwqDmLtmXYiTMKHgktTP8We1SCoS47DrQ/edit?usp=sharing"",""จัดที่ดิน!I46"")"),4)</f>
        <v>4</v>
      </c>
      <c r="K372" s="497">
        <f t="shared" ca="1" si="163"/>
        <v>1.3333333333333333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IFERROR(__xludf.DUMMYFUNCTION("IMPORTRANGE(""https://docs.google.com/spreadsheets/d/1XWAQStnk-4SwqDmLtmXYiTMKHgktTP8We1SCoS47DrQ/edit?usp=sharing"",""จัดที่ดิน!J46"")"),25.45)</f>
        <v>25.45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310</v>
      </c>
      <c r="K374" s="491">
        <f t="shared" ca="1" si="163"/>
        <v>16.315789473684209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IFERROR(__xludf.DUMMYFUNCTION("IMPORTRANGE(""https://docs.google.com/spreadsheets/d/1XWAQStnk-4SwqDmLtmXYiTMKHgktTP8We1SCoS47DrQ/edit?usp=sharing"",""จัดที่ดิน!AH46"")"),384)</f>
        <v>384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IFERROR(__xludf.DUMMYFUNCTION("IMPORTRANGE(""https://docs.google.com/spreadsheets/d/1XWAQStnk-4SwqDmLtmXYiTMKHgktTP8We1SCoS47DrQ/edit?usp=sharing"",""จัดที่ดิน!AI46"")"),2824.76)</f>
        <v>2824.76</v>
      </c>
      <c r="K378" s="497">
        <f t="shared" ca="1" si="164"/>
        <v>40.353714285714283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IFERROR(__xludf.DUMMYFUNCTION("IMPORTRANGE(""https://docs.google.com/spreadsheets/d/1XWAQStnk-4SwqDmLtmXYiTMKHgktTP8We1SCoS47DrQ/edit?usp=sharing"",""จัดที่ดิน!AJ46"")"),550)</f>
        <v>550</v>
      </c>
      <c r="K379" s="497">
        <f t="shared" ca="1" si="164"/>
        <v>28.94736842105263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IFERROR(__xludf.DUMMYFUNCTION("IMPORTRANGE(""https://docs.google.com/spreadsheets/d/1XWAQStnk-4SwqDmLtmXYiTMKHgktTP8We1SCoS47DrQ/edit?usp=sharing"",""จัดที่ดิน!AK46"")"),4615.1)</f>
        <v>4615.1000000000004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IFERROR(__xludf.DUMMYFUNCTION("IMPORTRANGE(""https://docs.google.com/spreadsheets/d/1XWAQStnk-4SwqDmLtmXYiTMKHgktTP8We1SCoS47DrQ/edit?usp=sharing"",""จัดที่ดิน!AL46"")"),310)</f>
        <v>310</v>
      </c>
      <c r="K381" s="497">
        <f t="shared" ca="1" si="164"/>
        <v>16.315789473684209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IFERROR(__xludf.DUMMYFUNCTION("IMPORTRANGE(""https://docs.google.com/spreadsheets/d/1XWAQStnk-4SwqDmLtmXYiTMKHgktTP8We1SCoS47DrQ/edit?usp=sharing"",""จัดที่ดิน!AM46"")"),2859.78)</f>
        <v>2859.78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IFERROR(__xludf.DUMMYFUNCTION("IMPORTRANGE(""https://docs.google.com/spreadsheets/d/1QqKyyYR6Q21VydFLVH3TRQUabQu_ym0Zz7PgGX0-kHA/edit?usp=sharing"",""แผน!EW46"")"),120)</f>
        <v>120</v>
      </c>
      <c r="J385" s="500">
        <f ca="1">IFERROR(__xludf.DUMMYFUNCTION("IMPORTRANGE(""https://docs.google.com/spreadsheets/d/1XWAQStnk-4SwqDmLtmXYiTMKHgktTP8We1SCoS47DrQ/edit?usp=sharing"",""จัดที่ดิน!AP46"")"),0)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3223978</v>
      </c>
      <c r="M414" s="548">
        <f t="shared" si="181"/>
        <v>0</v>
      </c>
      <c r="N414" s="548">
        <f t="shared" si="181"/>
        <v>736846.1</v>
      </c>
      <c r="O414" s="548">
        <f ca="1">IF(L414&gt;0,N414*100/L414,0)</f>
        <v>22.855183875324212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50</v>
      </c>
      <c r="J417" s="564">
        <f t="shared" ca="1" si="182"/>
        <v>50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2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si="184"/>
        <v>0</v>
      </c>
      <c r="N419" s="155">
        <f t="shared" si="184"/>
        <v>59157.3</v>
      </c>
      <c r="O419" s="155">
        <f t="shared" ref="O419:O424" ca="1" si="185">IF(L419&gt;0,N419*100/L419,0)</f>
        <v>36.71174134293161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161140</v>
      </c>
      <c r="M421" s="93">
        <f t="shared" si="187"/>
        <v>0</v>
      </c>
      <c r="N421" s="93">
        <f t="shared" si="187"/>
        <v>59157.3</v>
      </c>
      <c r="O421" s="93">
        <f t="shared" ca="1" si="185"/>
        <v>36.71174134293161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si="188"/>
        <v>0</v>
      </c>
      <c r="N422" s="497">
        <f t="shared" si="188"/>
        <v>59157.3</v>
      </c>
      <c r="O422" s="497">
        <f t="shared" ca="1" si="185"/>
        <v>36.71174134293161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v>0</v>
      </c>
      <c r="N424" s="93">
        <f>N425+N426+N427+N428</f>
        <v>59157.3</v>
      </c>
      <c r="O424" s="93">
        <f t="shared" ca="1" si="185"/>
        <v>36.71174134293161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52695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6462.3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50</v>
      </c>
      <c r="J433" s="675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IFERROR(__xludf.DUMMYFUNCTION("IMPORTRANGE(""https://docs.google.com/spreadsheets/d/1QqKyyYR6Q21VydFLVH3TRQUabQu_ym0Zz7PgGX0-kHA/edit?usp=sharing"",""แผน!FC46"")"),50)</f>
        <v>50</v>
      </c>
      <c r="J435" s="578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IFERROR(__xludf.DUMMYFUNCTION("IMPORTRANGE(""https://docs.google.com/spreadsheets/d/1QqKyyYR6Q21VydFLVH3TRQUabQu_ym0Zz7PgGX0-kHA/edit?usp=sharing"",""แผน!FD46"")"),30)</f>
        <v>30</v>
      </c>
      <c r="J437" s="578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IFERROR(__xludf.DUMMYFUNCTION("IMPORTRANGE(""https://docs.google.com/spreadsheets/d/1QqKyyYR6Q21VydFLVH3TRQUabQu_ym0Zz7PgGX0-kHA/edit?usp=sharing"",""แผน!FF46"")"),20)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15</v>
      </c>
      <c r="J442" s="584">
        <f t="shared" si="195"/>
        <v>15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150</v>
      </c>
      <c r="J443" s="564">
        <f t="shared" si="196"/>
        <v>150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si="197"/>
        <v>0</v>
      </c>
      <c r="N444" s="195">
        <f t="shared" si="197"/>
        <v>30425</v>
      </c>
      <c r="O444" s="195">
        <f t="shared" ref="O444:O449" ca="1" si="198">IF(L444&gt;0,N444*100/L444,0)</f>
        <v>16.757545714915178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181560</v>
      </c>
      <c r="M446" s="93">
        <f t="shared" si="200"/>
        <v>0</v>
      </c>
      <c r="N446" s="93">
        <f t="shared" si="200"/>
        <v>30425</v>
      </c>
      <c r="O446" s="93">
        <f t="shared" ca="1" si="198"/>
        <v>16.757545714915178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si="201"/>
        <v>0</v>
      </c>
      <c r="N447" s="497">
        <f t="shared" si="201"/>
        <v>30425</v>
      </c>
      <c r="O447" s="497">
        <f t="shared" ca="1" si="198"/>
        <v>16.757545714915178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v>0</v>
      </c>
      <c r="N449" s="93">
        <f>N450+N451+N452+N453</f>
        <v>30425</v>
      </c>
      <c r="O449" s="93">
        <f t="shared" ca="1" si="198"/>
        <v>16.757545714915178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19120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11305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IFERROR(__xludf.DUMMYFUNCTION("IMPORTRANGE(""https://docs.google.com/spreadsheets/d/1QqKyyYR6Q21VydFLVH3TRQUabQu_ym0Zz7PgGX0-kHA/edit?usp=sharing"",""แผน!FX46"")"),131)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IFERROR(__xludf.DUMMYFUNCTION("IMPORTRANGE(""https://docs.google.com/spreadsheets/d/1QqKyyYR6Q21VydFLVH3TRQUabQu_ym0Zz7PgGX0-kHA/edit?usp=sharing"",""แผน!FW46"")"),1300)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si="206"/>
        <v>0</v>
      </c>
      <c r="N467" s="195">
        <f t="shared" si="206"/>
        <v>177928</v>
      </c>
      <c r="O467" s="195">
        <f t="shared" ref="O467:O472" ca="1" si="207">IF(L467&gt;0,N467*100/L467,0)</f>
        <v>15.208717266656866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1169908</v>
      </c>
      <c r="M469" s="93">
        <f t="shared" si="209"/>
        <v>0</v>
      </c>
      <c r="N469" s="93">
        <f t="shared" si="209"/>
        <v>177928</v>
      </c>
      <c r="O469" s="93">
        <f t="shared" ca="1" si="207"/>
        <v>15.208717266656866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si="210"/>
        <v>0</v>
      </c>
      <c r="N470" s="497">
        <f t="shared" si="210"/>
        <v>177928</v>
      </c>
      <c r="O470" s="497">
        <f t="shared" ca="1" si="207"/>
        <v>15.208717266656866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v>0</v>
      </c>
      <c r="N472" s="93">
        <f>N473+N474+N475+N476</f>
        <v>177928</v>
      </c>
      <c r="O472" s="93">
        <f t="shared" ca="1" si="207"/>
        <v>15.208717266656866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118947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38580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20401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9.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881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IFERROR(__xludf.DUMMYFUNCTION("IMPORTRANGE(""https://docs.google.com/spreadsheets/d/1QqKyyYR6Q21VydFLVH3TRQUabQu_ym0Zz7PgGX0-kHA/edit?usp=sharing"",""แผน!GU46"")"),0)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73156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594850</v>
      </c>
      <c r="M544" s="155">
        <f t="shared" si="236"/>
        <v>0</v>
      </c>
      <c r="N544" s="155">
        <f t="shared" si="236"/>
        <v>175534.8</v>
      </c>
      <c r="O544" s="155">
        <f t="shared" ref="O544:O549" ca="1" si="237">IF(L544&gt;0,N544*100/L544,0)</f>
        <v>29.509086324283434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594850</v>
      </c>
      <c r="M546" s="93">
        <f t="shared" si="240"/>
        <v>0</v>
      </c>
      <c r="N546" s="93">
        <f t="shared" si="240"/>
        <v>175534.8</v>
      </c>
      <c r="O546" s="93">
        <f t="shared" ca="1" si="237"/>
        <v>29.509086324283434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594850</v>
      </c>
      <c r="M547" s="497">
        <f t="shared" si="241"/>
        <v>0</v>
      </c>
      <c r="N547" s="497">
        <f t="shared" si="241"/>
        <v>175534.8</v>
      </c>
      <c r="O547" s="497">
        <f t="shared" ca="1" si="237"/>
        <v>29.509086324283434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IFERROR(__xludf.DUMMYFUNCTION("IMPORTRANGE(""https://docs.google.com/spreadsheets/d/1QqKyyYR6Q21VydFLVH3TRQUabQu_ym0Zz7PgGX0-kHA/edit?usp=sharing"",""แผน!HB46"")"),594850)</f>
        <v>594850</v>
      </c>
      <c r="M549" s="93">
        <v>0</v>
      </c>
      <c r="N549" s="93">
        <f>N550+N551+N552+N553+N554</f>
        <v>175534.8</v>
      </c>
      <c r="O549" s="93">
        <f t="shared" ca="1" si="237"/>
        <v>29.509086324283434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37320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138214.79999999999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73156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46133.36</v>
      </c>
      <c r="K560" s="411">
        <f t="shared" ca="1" si="246"/>
        <v>63.061621739843623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6968</v>
      </c>
      <c r="K561" s="411">
        <f t="shared" ca="1" si="246"/>
        <v>62.297720160929813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31629.8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5505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12975.9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1244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1527.66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219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5">
        <f t="shared" ref="J568:J569" si="248">J570+J572+J574</f>
        <v>41745.360000000001</v>
      </c>
      <c r="K568" s="411">
        <f t="shared" ref="K568:K569" ca="1" si="249">IF(I568&gt;0,J568*100/I568,0)</f>
        <v>57.0634807807972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5">
        <f t="shared" si="248"/>
        <v>6453</v>
      </c>
      <c r="K569" s="411">
        <f t="shared" ca="1" si="249"/>
        <v>57.693339293696916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32041.3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5467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8497.06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786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1207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200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4240.6499999999996</v>
      </c>
      <c r="J592" s="702">
        <f t="shared" si="253"/>
        <v>374</v>
      </c>
      <c r="K592" s="671">
        <f t="shared" ref="K592:K594" ca="1" si="254">IF(I592&gt;0,J592*100/I592,0)</f>
        <v>8.8194026859090009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374</v>
      </c>
      <c r="K593" s="411">
        <f t="shared" ca="1" si="254"/>
        <v>8.8194026859090009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34</v>
      </c>
      <c r="K594" s="411">
        <f t="shared" ca="1" si="254"/>
        <v>8.8541666666666661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360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32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360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32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14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IFERROR(__xludf.DUMMYFUNCTION("IMPORTRANGE(""https://docs.google.com/spreadsheets/d/1QqKyyYR6Q21VydFLVH3TRQUabQu_ym0Zz7PgGX0-kHA/edit?usp=sharing"",""แผน!HL46"")"),73)</f>
        <v>73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IFERROR(__xludf.DUMMYFUNCTION("IMPORTRANGE(""https://docs.google.com/spreadsheets/d/1QqKyyYR6Q21VydFLVH3TRQUabQu_ym0Zz7PgGX0-kHA/edit?usp=sharing"",""แผน!HK46"")"),8)</f>
        <v>8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700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si="263"/>
        <v>0</v>
      </c>
      <c r="N629" s="195">
        <f t="shared" si="263"/>
        <v>231056</v>
      </c>
      <c r="O629" s="195">
        <f t="shared" ref="O629:O634" ca="1" si="264">IF(L629&gt;0,N629*100/L629,0)</f>
        <v>26.452957204680239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873460</v>
      </c>
      <c r="M631" s="93">
        <f t="shared" si="266"/>
        <v>0</v>
      </c>
      <c r="N631" s="93">
        <f t="shared" si="266"/>
        <v>231056</v>
      </c>
      <c r="O631" s="93">
        <f t="shared" ca="1" si="264"/>
        <v>26.452957204680239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si="267"/>
        <v>0</v>
      </c>
      <c r="N632" s="497">
        <f t="shared" si="267"/>
        <v>231056</v>
      </c>
      <c r="O632" s="497">
        <f t="shared" ca="1" si="264"/>
        <v>26.452957204680239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v>0</v>
      </c>
      <c r="N634" s="93">
        <f>N635+N636+N637+N638</f>
        <v>231056</v>
      </c>
      <c r="O634" s="93">
        <f t="shared" ca="1" si="264"/>
        <v>26.452957204680239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78000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153056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IFERROR(__xludf.DUMMYFUNCTION("IMPORTRANGE(""https://docs.google.com/spreadsheets/d/1XWAQStnk-4SwqDmLtmXYiTMKHgktTP8We1SCoS47DrQ/edit?usp=sharing"",""จัดที่ดิน!AS46"")"),254)</f>
        <v>254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IFERROR(__xludf.DUMMYFUNCTION("IMPORTRANGE(""https://docs.google.com/spreadsheets/d/1XWAQStnk-4SwqDmLtmXYiTMKHgktTP8We1SCoS47DrQ/edit?usp=sharing"",""จัดที่ดิน!AT46"")"),171.05)</f>
        <v>171.05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IFERROR(__xludf.DUMMYFUNCTION("IMPORTRANGE(""https://docs.google.com/spreadsheets/d/1XWAQStnk-4SwqDmLtmXYiTMKHgktTP8We1SCoS47DrQ/edit?usp=sharing"",""จัดที่ดิน!AU46"")"),210)</f>
        <v>210</v>
      </c>
      <c r="K647" s="163">
        <f t="shared" ca="1" si="271"/>
        <v>30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IFERROR(__xludf.DUMMYFUNCTION("IMPORTRANGE(""https://docs.google.com/spreadsheets/d/1XWAQStnk-4SwqDmLtmXYiTMKHgktTP8We1SCoS47DrQ/edit?usp=sharing"",""จัดที่ดิน!AV46"")"),142.12)</f>
        <v>142.12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IFERROR(__xludf.DUMMYFUNCTION("IMPORTRANGE(""https://docs.google.com/spreadsheets/d/1XWAQStnk-4SwqDmLtmXYiTMKHgktTP8We1SCoS47DrQ/edit?usp=sharing"",""จัดที่ดิน!AZ46"")"),0)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2700</v>
      </c>
      <c r="O655" s="195">
        <f t="shared" ref="O655:O660" ca="1" si="274">IF(L655&gt;0,N655*100/L655,0)</f>
        <v>17.307692307692307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2700</v>
      </c>
      <c r="O657" s="93">
        <f t="shared" ca="1" si="274"/>
        <v>17.307692307692307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si="277"/>
        <v>0</v>
      </c>
      <c r="N658" s="497">
        <f t="shared" si="277"/>
        <v>2700</v>
      </c>
      <c r="O658" s="497">
        <f t="shared" ca="1" si="274"/>
        <v>17.307692307692307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v>0</v>
      </c>
      <c r="N660" s="93">
        <f>N661+N662+N663+N664</f>
        <v>2700</v>
      </c>
      <c r="O660" s="93">
        <f t="shared" ca="1" si="274"/>
        <v>17.307692307692307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2700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IFERROR(__xludf.DUMMYFUNCTION("IMPORTRANGE(""https://docs.google.com/spreadsheets/d/1QqKyyYR6Q21VydFLVH3TRQUabQu_ym0Zz7PgGX0-kHA/edit?usp=sharing"",""แผน!IA46"")"),100)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64</v>
      </c>
      <c r="K672" s="497">
        <f t="shared" ref="K672:K675" ca="1" si="281">IF(I$669&gt;0,J672*100/I$669,0)</f>
        <v>64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13540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IFERROR(__xludf.DUMMYFUNCTION("IMPORTRANGE(""https://docs.google.com/spreadsheets/d/1QqKyyYR6Q21VydFLVH3TRQUabQu_ym0Zz7PgGX0-kHA/edit?usp=sharing"",""แผน!IE46"")"),0)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/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/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/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/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IFERROR(__xludf.DUMMYFUNCTION("IMPORTRANGE(""https://docs.google.com/spreadsheets/d/1QqKyyYR6Q21VydFLVH3TRQUabQu_ym0Zz7PgGX0-kHA/edit?usp=sharing"",""แผน!IG46"")"),0)</f>
        <v>0</v>
      </c>
      <c r="J707" s="215"/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IFERROR(__xludf.DUMMYFUNCTION("IMPORTRANGE(""https://docs.google.com/spreadsheets/d/1QqKyyYR6Q21VydFLVH3TRQUabQu_ym0Zz7PgGX0-kHA/edit?usp=sharing"",""แผน!IH46"")"),342)</f>
        <v>342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IFERROR(__xludf.DUMMYFUNCTION("IMPORTRANGE(""https://docs.google.com/spreadsheets/d/1XWAQStnk-4SwqDmLtmXYiTMKHgktTP8We1SCoS47DrQ/edit?usp=sharing"",""จัดที่ดิน!BF46"")"),0)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IFERROR(__xludf.DUMMYFUNCTION("IMPORTRANGE(""https://docs.google.com/spreadsheets/d/1XWAQStnk-4SwqDmLtmXYiTMKHgktTP8We1SCoS47DrQ/edit?usp=sharing"",""จัดที่ดิน!BG46"")"),0)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IFERROR(__xludf.DUMMYFUNCTION("IMPORTRANGE(""https://docs.google.com/spreadsheets/d/1QqKyyYR6Q21VydFLVH3TRQUabQu_ym0Zz7PgGX0-kHA/edit?usp=sharing"",""แผน!IJ46"")"),0)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IFERROR(__xludf.DUMMYFUNCTION("IMPORTRANGE(""https://docs.google.com/spreadsheets/d/1QqKyyYR6Q21VydFLVH3TRQUabQu_ym0Zz7PgGX0-kHA/edit?usp=sharing"",""แผน!IK46"")"),0)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IFERROR(__xludf.DUMMYFUNCTION("IMPORTRANGE(""https://docs.google.com/spreadsheets/d/1QqKyyYR6Q21VydFLVH3TRQUabQu_ym0Zz7PgGX0-kHA/edit?usp=sharing"",""แผน!IP46"")"),0)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3000</v>
      </c>
      <c r="J785" s="801">
        <f t="shared" ca="1" si="318"/>
        <v>31</v>
      </c>
      <c r="K785" s="802">
        <f ca="1">IF(I785&gt;0,J785*100/I785,0)</f>
        <v>1.0333333333333334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213920</v>
      </c>
      <c r="M786" s="195">
        <f t="shared" si="319"/>
        <v>0</v>
      </c>
      <c r="N786" s="195">
        <f t="shared" si="319"/>
        <v>60045</v>
      </c>
      <c r="O786" s="195">
        <f t="shared" ref="O786:O791" ca="1" si="320">IF(L786&gt;0,N786*100/L786,0)</f>
        <v>28.068904263275989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213920</v>
      </c>
      <c r="M788" s="93">
        <f t="shared" si="322"/>
        <v>0</v>
      </c>
      <c r="N788" s="93">
        <f t="shared" si="322"/>
        <v>60045</v>
      </c>
      <c r="O788" s="93">
        <f t="shared" ca="1" si="320"/>
        <v>28.068904263275989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213920</v>
      </c>
      <c r="M789" s="497">
        <f t="shared" si="323"/>
        <v>0</v>
      </c>
      <c r="N789" s="497">
        <f t="shared" si="323"/>
        <v>60045</v>
      </c>
      <c r="O789" s="497">
        <f t="shared" ca="1" si="320"/>
        <v>28.068904263275989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v>0</v>
      </c>
      <c r="N791" s="93">
        <f>N792+N793+N794+N795</f>
        <v>60045</v>
      </c>
      <c r="O791" s="93">
        <f t="shared" ca="1" si="320"/>
        <v>28.068904263275989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2675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v>57370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IFERROR(__xludf.DUMMYFUNCTION("IMPORTRANGE(""https://docs.google.com/spreadsheets/d/1MaWodYyGHDf7siQLGxnXhG4mBNTNIuy296niS2xXulU/edit?usp=sharing"",""RTK!H46"")"),4)</f>
        <v>4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IFERROR(__xludf.DUMMYFUNCTION("IMPORTRANGE(""https://docs.google.com/spreadsheets/d/1MaWodYyGHDf7siQLGxnXhG4mBNTNIuy296niS2xXulU/edit?usp=sharing"",""RTK!G46"")"),3000)</f>
        <v>3000</v>
      </c>
      <c r="J801" s="816">
        <f ca="1">IFERROR(__xludf.DUMMYFUNCTION("IMPORTRANGE(""https://docs.google.com/spreadsheets/d/1MaWodYyGHDf7siQLGxnXhG4mBNTNIuy296niS2xXulU/edit?usp=sharing"",""RTK!I46"")"),31)</f>
        <v>31</v>
      </c>
      <c r="K801" s="817">
        <f ca="1">IF(I801&gt;0,J801*100/I801,0)</f>
        <v>1.0333333333333334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IFERROR(__xludf.DUMMYFUNCTION("IMPORTRANGE(""https://docs.google.com/spreadsheets/d/1MaWodYyGHDf7siQLGxnXhG4mBNTNIuy296niS2xXulU/edit?usp=sharing"",""RTK!L46"")"),0)</f>
        <v>0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814" t="s">
        <v>46</v>
      </c>
      <c r="I803" s="815">
        <f ca="1">IFERROR(__xludf.DUMMYFUNCTION("IMPORTRANGE(""https://docs.google.com/spreadsheets/d/1MaWodYyGHDf7siQLGxnXhG4mBNTNIuy296niS2xXulU/edit?usp=sharing"",""RTK!K46"")"),0)</f>
        <v>0</v>
      </c>
      <c r="J803" s="816">
        <f ca="1">IFERROR(__xludf.DUMMYFUNCTION("IMPORTRANGE(""https://docs.google.com/spreadsheets/d/1MaWodYyGHDf7siQLGxnXhG4mBNTNIuy296niS2xXulU/edit?usp=sharing"",""RTK!M46"")"),0)</f>
        <v>0</v>
      </c>
      <c r="K803" s="81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IFERROR(__xludf.DUMMYFUNCTION("IMPORTRANGE(""https://docs.google.com/spreadsheets/d/19vJNZY_5yjcGF2XGBMNZRCAIB0Kwfpjp8YEOfu-bneM/edit?usp=sharing"",""งานกองทุน!D46"")"),7136452.39)</f>
        <v>7136452.3899999997</v>
      </c>
      <c r="J821" s="270">
        <f ca="1">IFERROR(__xludf.DUMMYFUNCTION("IMPORTRANGE(""https://docs.google.com/spreadsheets/d/19vJNZY_5yjcGF2XGBMNZRCAIB0Kwfpjp8YEOfu-bneM/edit?usp=sharing"",""งานกองทุน!F46"")"),2690833.1)</f>
        <v>2690833.1</v>
      </c>
      <c r="K821" s="497">
        <f t="shared" ref="K821:K828" ca="1" si="336">IF(I821&gt;0,J821*100/I821,0)</f>
        <v>37.705472592664492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IFERROR(__xludf.DUMMYFUNCTION("IMPORTRANGE(""https://docs.google.com/spreadsheets/d/19vJNZY_5yjcGF2XGBMNZRCAIB0Kwfpjp8YEOfu-bneM/edit?usp=sharing"",""งานกองทุน!C46"")"),364)</f>
        <v>364</v>
      </c>
      <c r="J822" s="270">
        <f ca="1">IFERROR(__xludf.DUMMYFUNCTION("IMPORTRANGE(""https://docs.google.com/spreadsheets/d/19vJNZY_5yjcGF2XGBMNZRCAIB0Kwfpjp8YEOfu-bneM/edit?usp=sharing"",""งานกองทุน!E46"")"),128)</f>
        <v>128</v>
      </c>
      <c r="K822" s="497">
        <f t="shared" ca="1" si="336"/>
        <v>35.164835164835168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IFERROR(__xludf.DUMMYFUNCTION("IMPORTRANGE(""https://docs.google.com/spreadsheets/d/19vJNZY_5yjcGF2XGBMNZRCAIB0Kwfpjp8YEOfu-bneM/edit?usp=sharing"",""งานกองทุน!K46"")"),343448.93)</f>
        <v>343448.93</v>
      </c>
      <c r="K823" s="497">
        <f t="shared" ca="1" si="336"/>
        <v>5.6985423289051216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IFERROR(__xludf.DUMMYFUNCTION("IMPORTRANGE(""https://docs.google.com/spreadsheets/d/19vJNZY_5yjcGF2XGBMNZRCAIB0Kwfpjp8YEOfu-bneM/edit?usp=sharing"",""งานกองทุน!J46"")"),61)</f>
        <v>61</v>
      </c>
      <c r="K824" s="497">
        <f t="shared" ca="1" si="336"/>
        <v>16.266666666666666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IFERROR(__xludf.DUMMYFUNCTION("IMPORTRANGE(""https://docs.google.com/spreadsheets/d/19vJNZY_5yjcGF2XGBMNZRCAIB0Kwfpjp8YEOfu-bneM/edit?usp=sharing"",""งานกองทุน!P46"")"),1140578.22)</f>
        <v>1140578.22</v>
      </c>
      <c r="K825" s="497">
        <f t="shared" ca="1" si="336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IFERROR(__xludf.DUMMYFUNCTION("IMPORTRANGE(""https://docs.google.com/spreadsheets/d/19vJNZY_5yjcGF2XGBMNZRCAIB0Kwfpjp8YEOfu-bneM/edit?usp=sharing"",""งานกองทุน!O46"")"),19)</f>
        <v>19</v>
      </c>
      <c r="K826" s="497">
        <f t="shared" ca="1" si="336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IFERROR(__xludf.DUMMYFUNCTION("IMPORTRANGE(""https://docs.google.com/spreadsheets/d/19vJNZY_5yjcGF2XGBMNZRCAIB0Kwfpjp8YEOfu-bneM/edit?usp=sharing"",""งานกองทุน!U46"")"),1030000)</f>
        <v>1030000</v>
      </c>
      <c r="K827" s="497">
        <f t="shared" ca="1" si="336"/>
        <v>9.2792792792792795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IFERROR(__xludf.DUMMYFUNCTION("IMPORTRANGE(""https://docs.google.com/spreadsheets/d/19vJNZY_5yjcGF2XGBMNZRCAIB0Kwfpjp8YEOfu-bneM/edit?usp=sharing"",""งานกองทุน!R46"")"),444)</f>
        <v>444</v>
      </c>
      <c r="J828" s="500">
        <f ca="1">IFERROR(__xludf.DUMMYFUNCTION("IMPORTRANGE(""https://docs.google.com/spreadsheets/d/19vJNZY_5yjcGF2XGBMNZRCAIB0Kwfpjp8YEOfu-bneM/edit?usp=sharing"",""งานกองทุน!T46"")"),37)</f>
        <v>37</v>
      </c>
      <c r="K828" s="501">
        <f t="shared" ca="1" si="336"/>
        <v>8.3333333333333339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28EF4-5A27-460E-A509-8840C943783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353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3544271.08</v>
      </c>
      <c r="N8" s="22">
        <f t="shared" ca="1" si="0"/>
        <v>2729902.17</v>
      </c>
      <c r="O8" s="22">
        <f t="shared" ref="O8:O16" ca="1" si="1">IF(L8&gt;0,N8*100/L8,0)</f>
        <v>38.751016647351975</v>
      </c>
      <c r="P8" s="22">
        <f t="shared" ref="P8:P16" ca="1" si="2">IF(M8&gt;0,N8*100/M8,0)</f>
        <v>77.022950795287358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3544271.08</v>
      </c>
      <c r="N10" s="30">
        <f t="shared" ca="1" si="3"/>
        <v>2729902.17</v>
      </c>
      <c r="O10" s="30">
        <f t="shared" ca="1" si="1"/>
        <v>38.751016647351975</v>
      </c>
      <c r="P10" s="30">
        <f t="shared" ca="1" si="2"/>
        <v>77.022950795287358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6661624</v>
      </c>
      <c r="M11" s="497">
        <f t="shared" ca="1" si="4"/>
        <v>3161171.08</v>
      </c>
      <c r="N11" s="497">
        <f t="shared" ca="1" si="4"/>
        <v>2346802.17</v>
      </c>
      <c r="O11" s="497">
        <f t="shared" ca="1" si="1"/>
        <v>35.228679523191339</v>
      </c>
      <c r="P11" s="497">
        <f t="shared" ca="1" si="2"/>
        <v>74.238379088296611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6661624</v>
      </c>
      <c r="M13" s="93">
        <f t="shared" ca="1" si="5"/>
        <v>3161171.08</v>
      </c>
      <c r="N13" s="93">
        <f t="shared" ca="1" si="5"/>
        <v>2346802.17</v>
      </c>
      <c r="O13" s="93">
        <f t="shared" ca="1" si="1"/>
        <v>35.228679523191339</v>
      </c>
      <c r="P13" s="93">
        <f t="shared" ca="1" si="2"/>
        <v>74.238379088296611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3544271.08</v>
      </c>
      <c r="N18" s="22">
        <f t="shared" ca="1" si="8"/>
        <v>2260325.54</v>
      </c>
      <c r="O18" s="22">
        <f t="shared" ref="O18:O26" ca="1" si="9">IF(L18&gt;0,N18*100/L18,0)</f>
        <v>45.07420898179663</v>
      </c>
      <c r="P18" s="22">
        <f t="shared" ref="P18:P26" ca="1" si="10">IF(M18&gt;0,N18*100/M18,0)</f>
        <v>63.774059291198462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3544271.08</v>
      </c>
      <c r="N20" s="30">
        <f t="shared" ca="1" si="11"/>
        <v>2260325.54</v>
      </c>
      <c r="O20" s="30">
        <f t="shared" ca="1" si="9"/>
        <v>45.07420898179663</v>
      </c>
      <c r="P20" s="30">
        <f t="shared" ca="1" si="10"/>
        <v>63.774059291198462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3161171.08</v>
      </c>
      <c r="N21" s="497">
        <f t="shared" ca="1" si="12"/>
        <v>1877225.54</v>
      </c>
      <c r="O21" s="497">
        <f t="shared" ca="1" si="9"/>
        <v>40.531031769747493</v>
      </c>
      <c r="P21" s="497">
        <f t="shared" ca="1" si="10"/>
        <v>59.383864159607583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4631576</v>
      </c>
      <c r="M23" s="93">
        <f t="shared" ca="1" si="13"/>
        <v>3161171.08</v>
      </c>
      <c r="N23" s="93">
        <f t="shared" ca="1" si="13"/>
        <v>1877225.54</v>
      </c>
      <c r="O23" s="93">
        <f t="shared" ca="1" si="9"/>
        <v>40.531031769747493</v>
      </c>
      <c r="P23" s="93">
        <f t="shared" ca="1" si="10"/>
        <v>59.383864159607583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si="16"/>
        <v>0</v>
      </c>
      <c r="N28" s="22">
        <f t="shared" si="16"/>
        <v>469576.63</v>
      </c>
      <c r="O28" s="22">
        <f t="shared" ref="O28:O37" ca="1" si="17">IF(L28&gt;0,N28*100/L28,0)</f>
        <v>23.131306747426663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si="19"/>
        <v>0</v>
      </c>
      <c r="N30" s="30">
        <f t="shared" si="19"/>
        <v>469576.63</v>
      </c>
      <c r="O30" s="30">
        <f t="shared" ca="1" si="17"/>
        <v>23.131306747426663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2030048</v>
      </c>
      <c r="M31" s="497">
        <f t="shared" si="20"/>
        <v>0</v>
      </c>
      <c r="N31" s="497">
        <f t="shared" si="20"/>
        <v>469576.63</v>
      </c>
      <c r="O31" s="497">
        <f t="shared" ca="1" si="17"/>
        <v>23.131306747426663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2030048</v>
      </c>
      <c r="M33" s="93">
        <f t="shared" si="21"/>
        <v>0</v>
      </c>
      <c r="N33" s="93">
        <f t="shared" si="21"/>
        <v>469576.63</v>
      </c>
      <c r="O33" s="93">
        <f t="shared" ca="1" si="17"/>
        <v>23.131306747426663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5014676</v>
      </c>
      <c r="M37" s="843">
        <f t="shared" ca="1" si="24"/>
        <v>3544271.08</v>
      </c>
      <c r="N37" s="843">
        <f t="shared" ca="1" si="24"/>
        <v>2260325.54</v>
      </c>
      <c r="O37" s="843">
        <f t="shared" ca="1" si="17"/>
        <v>45.07420898179663</v>
      </c>
      <c r="P37" s="843">
        <f t="shared" ca="1" si="18"/>
        <v>63.774059291198462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709941.08</v>
      </c>
      <c r="N41" s="85">
        <f t="shared" ca="1" si="25"/>
        <v>333465</v>
      </c>
      <c r="O41" s="85">
        <f t="shared" ref="O41:O49" ca="1" si="26">IF(L41&gt;0,N41*100/L41,0)</f>
        <v>47.682747043287897</v>
      </c>
      <c r="P41" s="85">
        <f t="shared" ref="P41:P49" ca="1" si="27">IF(M41&gt;0,N41*100/M41,0)</f>
        <v>46.970799323233983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709941.08</v>
      </c>
      <c r="N43" s="92">
        <f t="shared" ca="1" si="28"/>
        <v>333465</v>
      </c>
      <c r="O43" s="92">
        <f t="shared" ca="1" si="26"/>
        <v>47.682747043287897</v>
      </c>
      <c r="P43" s="92">
        <f t="shared" ca="1" si="27"/>
        <v>46.970799323233983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709941.08</v>
      </c>
      <c r="N44" s="497">
        <f t="shared" ca="1" si="29"/>
        <v>333465</v>
      </c>
      <c r="O44" s="497">
        <f t="shared" ca="1" si="26"/>
        <v>47.682747043287897</v>
      </c>
      <c r="P44" s="497">
        <f t="shared" ca="1" si="27"/>
        <v>46.970799323233983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IFERROR(__xludf.DUMMYFUNCTION("IMPORTRANGE(""https://docs.google.com/spreadsheets/d/1MeEWN-I1oV_STSDYn1IFDPWt_1FKiwhDph83XaGc0o0/edit?usp=sharing"",""งบพรบ!R47"")"),709941.08)</f>
        <v>709941.08</v>
      </c>
      <c r="N46" s="93">
        <f ca="1">IFERROR(__xludf.DUMMYFUNCTION("IMPORTRANGE(""https://docs.google.com/spreadsheets/d/1MeEWN-I1oV_STSDYn1IFDPWt_1FKiwhDph83XaGc0o0/edit?usp=sharing"",""งบพรบ!T47"")"),333465)</f>
        <v>333465</v>
      </c>
      <c r="O46" s="93">
        <f t="shared" ca="1" si="26"/>
        <v>47.682747043287897</v>
      </c>
      <c r="P46" s="93">
        <f t="shared" ca="1" si="27"/>
        <v>46.970799323233983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632700</v>
      </c>
      <c r="N53" s="116">
        <f t="shared" ca="1" si="31"/>
        <v>322818.37</v>
      </c>
      <c r="O53" s="116">
        <f t="shared" ref="O53:O61" ca="1" si="32">IF(L53&gt;0,N53*100/L53,0)</f>
        <v>38.321268993352327</v>
      </c>
      <c r="P53" s="116">
        <f t="shared" ref="P53:P61" ca="1" si="33">IF(M53&gt;0,N53*100/M53,0)</f>
        <v>51.022343922870242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632700</v>
      </c>
      <c r="N55" s="123">
        <f t="shared" ca="1" si="34"/>
        <v>322818.37</v>
      </c>
      <c r="O55" s="123">
        <f t="shared" ca="1" si="32"/>
        <v>38.321268993352327</v>
      </c>
      <c r="P55" s="123">
        <f t="shared" ca="1" si="33"/>
        <v>51.022343922870242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632700</v>
      </c>
      <c r="N56" s="497">
        <f t="shared" ca="1" si="35"/>
        <v>322818.37</v>
      </c>
      <c r="O56" s="497">
        <f t="shared" ca="1" si="32"/>
        <v>38.321268993352327</v>
      </c>
      <c r="P56" s="497">
        <f t="shared" ca="1" si="33"/>
        <v>51.022343922870242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IFERROR(__xludf.DUMMYFUNCTION("IMPORTRANGE(""https://docs.google.com/spreadsheets/d/1MeEWN-I1oV_STSDYn1IFDPWt_1FKiwhDph83XaGc0o0/edit?usp=sharing"",""งบพรบ!AB47"")"),632700)</f>
        <v>632700</v>
      </c>
      <c r="N58" s="93">
        <f ca="1">IFERROR(__xludf.DUMMYFUNCTION("IMPORTRANGE(""https://docs.google.com/spreadsheets/d/1MeEWN-I1oV_STSDYn1IFDPWt_1FKiwhDph83XaGc0o0/edit?usp=sharing"",""งบพรบ!AD47"")"),322818.37)</f>
        <v>322818.37</v>
      </c>
      <c r="O58" s="93">
        <f t="shared" ca="1" si="32"/>
        <v>38.321268993352327</v>
      </c>
      <c r="P58" s="93">
        <f t="shared" ca="1" si="33"/>
        <v>51.022343922870242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743150</v>
      </c>
      <c r="N66" s="155">
        <f t="shared" ca="1" si="39"/>
        <v>572456.35</v>
      </c>
      <c r="O66" s="155">
        <f t="shared" ref="O66:O74" ca="1" si="40">IF(L66&gt;0,N66*100/L66,0)</f>
        <v>41.455308132377432</v>
      </c>
      <c r="P66" s="155">
        <f t="shared" ref="P66:P74" ca="1" si="41">IF(M66&gt;0,N66*100/M66,0)</f>
        <v>77.0310637152661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1380900</v>
      </c>
      <c r="M68" s="93">
        <f t="shared" ca="1" si="42"/>
        <v>743150</v>
      </c>
      <c r="N68" s="93">
        <f t="shared" ca="1" si="42"/>
        <v>572456.35</v>
      </c>
      <c r="O68" s="93">
        <f t="shared" ca="1" si="40"/>
        <v>41.455308132377432</v>
      </c>
      <c r="P68" s="93">
        <f t="shared" ca="1" si="41"/>
        <v>77.0310637152661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743150</v>
      </c>
      <c r="N69" s="497">
        <f t="shared" ca="1" si="43"/>
        <v>572456.35</v>
      </c>
      <c r="O69" s="497">
        <f t="shared" ca="1" si="40"/>
        <v>41.455308132377432</v>
      </c>
      <c r="P69" s="497">
        <f t="shared" ca="1" si="41"/>
        <v>77.0310637152661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IFERROR(__xludf.DUMMYFUNCTION("IMPORTRANGE(""https://docs.google.com/spreadsheets/d/1MeEWN-I1oV_STSDYn1IFDPWt_1FKiwhDph83XaGc0o0/edit?usp=sharing"",""งบพรบ!AL47"")"),743150)</f>
        <v>743150</v>
      </c>
      <c r="N71" s="93">
        <f ca="1">IFERROR(__xludf.DUMMYFUNCTION("IMPORTRANGE(""https://docs.google.com/spreadsheets/d/1MeEWN-I1oV_STSDYn1IFDPWt_1FKiwhDph83XaGc0o0/edit?usp=sharing"",""งบพรบ!AN47"")"),572456.35)</f>
        <v>572456.35</v>
      </c>
      <c r="O71" s="93">
        <f t="shared" ca="1" si="40"/>
        <v>41.455308132377432</v>
      </c>
      <c r="P71" s="93">
        <f t="shared" ca="1" si="41"/>
        <v>77.0310637152661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73730</v>
      </c>
      <c r="N88" s="155">
        <f t="shared" ca="1" si="49"/>
        <v>8025</v>
      </c>
      <c r="O88" s="155">
        <f t="shared" ref="O88:O96" ca="1" si="50">IF(L88&gt;0,N88*100/L88,0)</f>
        <v>5.7003835772126719</v>
      </c>
      <c r="P88" s="155">
        <f t="shared" ref="P88:P96" ca="1" si="51">IF(M88&gt;0,N88*100/M88,0)</f>
        <v>10.884307608843075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140780</v>
      </c>
      <c r="M90" s="93">
        <f t="shared" ca="1" si="52"/>
        <v>73730</v>
      </c>
      <c r="N90" s="93">
        <f t="shared" ca="1" si="52"/>
        <v>8025</v>
      </c>
      <c r="O90" s="93">
        <f t="shared" ca="1" si="50"/>
        <v>5.7003835772126719</v>
      </c>
      <c r="P90" s="93">
        <f t="shared" ca="1" si="51"/>
        <v>10.884307608843075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73730</v>
      </c>
      <c r="N91" s="497">
        <f t="shared" ca="1" si="53"/>
        <v>8025</v>
      </c>
      <c r="O91" s="497">
        <f t="shared" ca="1" si="50"/>
        <v>5.7003835772126719</v>
      </c>
      <c r="P91" s="497">
        <f t="shared" ca="1" si="51"/>
        <v>10.884307608843075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IFERROR(__xludf.DUMMYFUNCTION("IMPORTRANGE(""https://docs.google.com/spreadsheets/d/1MeEWN-I1oV_STSDYn1IFDPWt_1FKiwhDph83XaGc0o0/edit?usp=sharing"",""งบพรบ!AV47"")"),73730)</f>
        <v>73730</v>
      </c>
      <c r="N93" s="93">
        <f ca="1">IFERROR(__xludf.DUMMYFUNCTION("IMPORTRANGE(""https://docs.google.com/spreadsheets/d/1MeEWN-I1oV_STSDYn1IFDPWt_1FKiwhDph83XaGc0o0/edit?usp=sharing"",""งบพรบ!AX47"")"),8025)</f>
        <v>8025</v>
      </c>
      <c r="O93" s="93">
        <f t="shared" ca="1" si="50"/>
        <v>5.7003835772126719</v>
      </c>
      <c r="P93" s="93">
        <f t="shared" ca="1" si="51"/>
        <v>10.884307608843075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399270</v>
      </c>
      <c r="O132" s="155">
        <f t="shared" ref="O132:O140" ca="1" si="70">IF(L132&gt;0,N132*100/L132,0)</f>
        <v>87.758398997725095</v>
      </c>
      <c r="P132" s="155">
        <f t="shared" ref="P132:P140" ca="1" si="71">IF(M132&gt;0,N132*100/M132,0)</f>
        <v>99.618263473053887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399270</v>
      </c>
      <c r="O134" s="93">
        <f t="shared" ca="1" si="70"/>
        <v>87.758398997725095</v>
      </c>
      <c r="P134" s="93">
        <f t="shared" ca="1" si="71"/>
        <v>99.618263473053887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91800</v>
      </c>
      <c r="N135" s="497">
        <f t="shared" ca="1" si="73"/>
        <v>90270</v>
      </c>
      <c r="O135" s="497">
        <f t="shared" ca="1" si="70"/>
        <v>61.843592642071727</v>
      </c>
      <c r="P135" s="497">
        <f t="shared" ca="1" si="71"/>
        <v>98.333333333333329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IFERROR(__xludf.DUMMYFUNCTION("IMPORTRANGE(""https://docs.google.com/spreadsheets/d/1MeEWN-I1oV_STSDYn1IFDPWt_1FKiwhDph83XaGc0o0/edit?usp=sharing"",""งบพรบ!BP47"")"),91800)</f>
        <v>91800</v>
      </c>
      <c r="N137" s="93">
        <f ca="1">IFERROR(__xludf.DUMMYFUNCTION("IMPORTRANGE(""https://docs.google.com/spreadsheets/d/1MeEWN-I1oV_STSDYn1IFDPWt_1FKiwhDph83XaGc0o0/edit?usp=sharing"",""งบพรบ!BR47"")"),90270)</f>
        <v>90270</v>
      </c>
      <c r="O137" s="93">
        <f t="shared" ca="1" si="70"/>
        <v>61.843592642071727</v>
      </c>
      <c r="P137" s="93">
        <f t="shared" ca="1" si="71"/>
        <v>98.333333333333329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882">
        <f t="shared" ref="I164:J164" ca="1" si="83">I174+I177</f>
        <v>0</v>
      </c>
      <c r="J164" s="882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67500</v>
      </c>
      <c r="N181" s="155">
        <f t="shared" ca="1" si="92"/>
        <v>0</v>
      </c>
      <c r="O181" s="155">
        <f t="shared" ref="O181:O189" ca="1" si="93">IF(L181&gt;0,N181*100/L181,0)</f>
        <v>0</v>
      </c>
      <c r="P181" s="155">
        <f t="shared" ref="P181:P189" ca="1" si="94">IF(M181&gt;0,N181*100/M181,0)</f>
        <v>0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77500</v>
      </c>
      <c r="M183" s="93">
        <f t="shared" ca="1" si="95"/>
        <v>67500</v>
      </c>
      <c r="N183" s="93">
        <f t="shared" ca="1" si="95"/>
        <v>0</v>
      </c>
      <c r="O183" s="93">
        <f t="shared" ca="1" si="93"/>
        <v>0</v>
      </c>
      <c r="P183" s="93">
        <f t="shared" ca="1" si="94"/>
        <v>0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67500</v>
      </c>
      <c r="N184" s="497">
        <f t="shared" ca="1" si="96"/>
        <v>0</v>
      </c>
      <c r="O184" s="497">
        <f t="shared" ca="1" si="93"/>
        <v>0</v>
      </c>
      <c r="P184" s="497">
        <f t="shared" ca="1" si="94"/>
        <v>0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IFERROR(__xludf.DUMMYFUNCTION("IMPORTRANGE(""https://docs.google.com/spreadsheets/d/1MeEWN-I1oV_STSDYn1IFDPWt_1FKiwhDph83XaGc0o0/edit?usp=sharing"",""งบพรบ!CT47"")"),67500)</f>
        <v>67500</v>
      </c>
      <c r="N186" s="93">
        <f ca="1">IFERROR(__xludf.DUMMYFUNCTION("IMPORTRANGE(""https://docs.google.com/spreadsheets/d/1MeEWN-I1oV_STSDYn1IFDPWt_1FKiwhDph83XaGc0o0/edit?usp=sharing"",""งบพรบ!CV47"")"),0)</f>
        <v>0</v>
      </c>
      <c r="O186" s="93">
        <f t="shared" ca="1" si="93"/>
        <v>0</v>
      </c>
      <c r="P186" s="93">
        <f t="shared" ca="1" si="94"/>
        <v>0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4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100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100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100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IFERROR(__xludf.DUMMYFUNCTION("IMPORTRANGE(""https://docs.google.com/spreadsheets/d/1MeEWN-I1oV_STSDYn1IFDPWt_1FKiwhDph83XaGc0o0/edit?usp=sharing"",""งบพรบ!DD47"")"),23900)</f>
        <v>23900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100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50</v>
      </c>
      <c r="J276" s="855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13100</v>
      </c>
      <c r="N277" s="155">
        <f t="shared" ca="1" si="125"/>
        <v>7625</v>
      </c>
      <c r="O277" s="155">
        <f t="shared" ref="O277:O285" ca="1" si="126">IF(L277&gt;0,N277*100/L277,0)</f>
        <v>33.694211224038888</v>
      </c>
      <c r="P277" s="155">
        <f t="shared" ref="P277:P285" ca="1" si="127">IF(M277&gt;0,N277*100/M277,0)</f>
        <v>58.206106870229007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22630</v>
      </c>
      <c r="M279" s="93">
        <f t="shared" ca="1" si="128"/>
        <v>13100</v>
      </c>
      <c r="N279" s="93">
        <f t="shared" ca="1" si="128"/>
        <v>7625</v>
      </c>
      <c r="O279" s="93">
        <f t="shared" ca="1" si="126"/>
        <v>33.694211224038888</v>
      </c>
      <c r="P279" s="93">
        <f t="shared" ca="1" si="127"/>
        <v>58.206106870229007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13100</v>
      </c>
      <c r="N280" s="497">
        <f t="shared" ca="1" si="129"/>
        <v>7625</v>
      </c>
      <c r="O280" s="497">
        <f t="shared" ca="1" si="126"/>
        <v>33.694211224038888</v>
      </c>
      <c r="P280" s="497">
        <f t="shared" ca="1" si="127"/>
        <v>58.206106870229007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IFERROR(__xludf.DUMMYFUNCTION("IMPORTRANGE(""https://docs.google.com/spreadsheets/d/1MeEWN-I1oV_STSDYn1IFDPWt_1FKiwhDph83XaGc0o0/edit?usp=sharing"",""งบพรบ!DN47"")"),13100)</f>
        <v>13100</v>
      </c>
      <c r="N282" s="93">
        <f ca="1">IFERROR(__xludf.DUMMYFUNCTION("IMPORTRANGE(""https://docs.google.com/spreadsheets/d/1MeEWN-I1oV_STSDYn1IFDPWt_1FKiwhDph83XaGc0o0/edit?usp=sharing"",""งบพรบ!DP47"")"),7625)</f>
        <v>7625</v>
      </c>
      <c r="O282" s="93">
        <f t="shared" ca="1" si="126"/>
        <v>33.694211224038888</v>
      </c>
      <c r="P282" s="93">
        <f t="shared" ca="1" si="127"/>
        <v>58.206106870229007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IFERROR(__xludf.DUMMYFUNCTION("IMPORTRANGE(""https://docs.google.com/spreadsheets/d/1QqKyyYR6Q21VydFLVH3TRQUabQu_ym0Zz7PgGX0-kHA/edit?usp=sharing"",""แผน!EB47"")"),5)</f>
        <v>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2673</v>
      </c>
      <c r="K327" s="445">
        <f ca="1">IF(I327&gt;0,J327*100/I327,0)</f>
        <v>70.34210526315789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88500</v>
      </c>
      <c r="N328" s="155">
        <f t="shared" ca="1" si="149"/>
        <v>75355</v>
      </c>
      <c r="O328" s="155">
        <f t="shared" ref="O328:O336" ca="1" si="150">IF(L328&gt;0,N328*100/L328,0)</f>
        <v>42.573446327683612</v>
      </c>
      <c r="P328" s="155">
        <f t="shared" ref="P328:P336" ca="1" si="151">IF(M328&gt;0,N328*100/M328,0)</f>
        <v>85.146892655367225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177000</v>
      </c>
      <c r="M330" s="93">
        <f t="shared" ca="1" si="152"/>
        <v>88500</v>
      </c>
      <c r="N330" s="93">
        <f t="shared" ca="1" si="152"/>
        <v>75355</v>
      </c>
      <c r="O330" s="93">
        <f t="shared" ca="1" si="150"/>
        <v>42.573446327683612</v>
      </c>
      <c r="P330" s="93">
        <f t="shared" ca="1" si="151"/>
        <v>85.146892655367225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88500</v>
      </c>
      <c r="N331" s="497">
        <f t="shared" ca="1" si="153"/>
        <v>75355</v>
      </c>
      <c r="O331" s="497">
        <f t="shared" ca="1" si="150"/>
        <v>42.573446327683612</v>
      </c>
      <c r="P331" s="497">
        <f t="shared" ca="1" si="151"/>
        <v>85.146892655367225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IFERROR(__xludf.DUMMYFUNCTION("IMPORTRANGE(""https://docs.google.com/spreadsheets/d/1MeEWN-I1oV_STSDYn1IFDPWt_1FKiwhDph83XaGc0o0/edit?usp=sharing"",""งบพรบ!ER47"")"),88500)</f>
        <v>88500</v>
      </c>
      <c r="N333" s="93">
        <f ca="1">IFERROR(__xludf.DUMMYFUNCTION("IMPORTRANGE(""https://docs.google.com/spreadsheets/d/1MeEWN-I1oV_STSDYn1IFDPWt_1FKiwhDph83XaGc0o0/edit?usp=sharing"",""งบพรบ!ET47"")"),75355)</f>
        <v>75355</v>
      </c>
      <c r="O333" s="93">
        <f t="shared" ca="1" si="150"/>
        <v>42.573446327683612</v>
      </c>
      <c r="P333" s="93">
        <f t="shared" ca="1" si="151"/>
        <v>85.146892655367225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IFERROR(__xludf.DUMMYFUNCTION("IMPORTRANGE(""https://docs.google.com/spreadsheets/d/1kVcqe37tkHyjCSG3S0O1AXqVkqjo8mSIZil3BcpIysc/edit?usp=sharing"",""ศูนย์!D47"")"),1843)</f>
        <v>1843</v>
      </c>
      <c r="K338" s="497">
        <f ca="1">IF(I338&gt;0,J338*100/I338,0)</f>
        <v>48.5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790950</v>
      </c>
      <c r="N345" s="155">
        <f t="shared" ca="1" si="155"/>
        <v>517410.82</v>
      </c>
      <c r="O345" s="155">
        <f t="shared" ref="O345:O353" ca="1" si="156">IF(L345&gt;0,N345*100/L345,0)</f>
        <v>43.397482092832099</v>
      </c>
      <c r="P345" s="155">
        <f t="shared" ref="P345:P353" ca="1" si="157">IF(M345&gt;0,N345*100/M345,0)</f>
        <v>65.416375244958587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1192260</v>
      </c>
      <c r="M347" s="93">
        <f t="shared" ca="1" si="158"/>
        <v>790950</v>
      </c>
      <c r="N347" s="93">
        <f t="shared" ca="1" si="158"/>
        <v>517410.82</v>
      </c>
      <c r="O347" s="93">
        <f t="shared" ca="1" si="156"/>
        <v>43.397482092832099</v>
      </c>
      <c r="P347" s="93">
        <f t="shared" ca="1" si="157"/>
        <v>65.416375244958587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716850</v>
      </c>
      <c r="N348" s="497">
        <f t="shared" ca="1" si="159"/>
        <v>443310.82</v>
      </c>
      <c r="O348" s="497">
        <f t="shared" ca="1" si="156"/>
        <v>39.646456678829509</v>
      </c>
      <c r="P348" s="497">
        <f t="shared" ca="1" si="157"/>
        <v>61.841503801353142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IFERROR(__xludf.DUMMYFUNCTION("IMPORTRANGE(""https://docs.google.com/spreadsheets/d/1MeEWN-I1oV_STSDYn1IFDPWt_1FKiwhDph83XaGc0o0/edit?usp=sharing"",""งบพรบ!FB47"")"),716850)</f>
        <v>716850</v>
      </c>
      <c r="N350" s="93">
        <f ca="1">IFERROR(__xludf.DUMMYFUNCTION("IMPORTRANGE(""https://docs.google.com/spreadsheets/d/1MeEWN-I1oV_STSDYn1IFDPWt_1FKiwhDph83XaGc0o0/edit?usp=sharing"",""งบพรบ!FD47"")"),443310.82)</f>
        <v>443310.82</v>
      </c>
      <c r="O350" s="93">
        <f t="shared" ca="1" si="156"/>
        <v>39.646456678829509</v>
      </c>
      <c r="P350" s="93">
        <f t="shared" ca="1" si="157"/>
        <v>61.841503801353142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9</v>
      </c>
      <c r="K355" s="465">
        <f ca="1">IF(I355&gt;0,J355*100/I355,0)</f>
        <v>2.3622047244094486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IFERROR(__xludf.DUMMYFUNCTION("IMPORTRANGE(""https://docs.google.com/spreadsheets/d/1XWAQStnk-4SwqDmLtmXYiTMKHgktTP8We1SCoS47DrQ/edit?usp=sharing"",""จัดที่ดิน!W47"")"),192)</f>
        <v>192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IFERROR(__xludf.DUMMYFUNCTION("IMPORTRANGE(""https://docs.google.com/spreadsheets/d/1XWAQStnk-4SwqDmLtmXYiTMKHgktTP8We1SCoS47DrQ/edit?usp=sharing"",""จัดที่ดิน!X47"")"),2133.9)</f>
        <v>2133.9</v>
      </c>
      <c r="K359" s="497">
        <f t="shared" ca="1" si="161"/>
        <v>52.046341463414635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IFERROR(__xludf.DUMMYFUNCTION("IMPORTRANGE(""https://docs.google.com/spreadsheets/d/1XWAQStnk-4SwqDmLtmXYiTMKHgktTP8We1SCoS47DrQ/edit?usp=sharing"",""จัดที่ดิน!Y47"")"),198)</f>
        <v>198</v>
      </c>
      <c r="K360" s="497">
        <f t="shared" ca="1" si="161"/>
        <v>51.968503937007874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IFERROR(__xludf.DUMMYFUNCTION("IMPORTRANGE(""https://docs.google.com/spreadsheets/d/1XWAQStnk-4SwqDmLtmXYiTMKHgktTP8We1SCoS47DrQ/edit?usp=sharing"",""จัดที่ดิน!Z47"")"),2227.64)</f>
        <v>2227.64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IFERROR(__xludf.DUMMYFUNCTION("IMPORTRANGE(""https://docs.google.com/spreadsheets/d/1XWAQStnk-4SwqDmLtmXYiTMKHgktTP8We1SCoS47DrQ/edit?usp=sharing"",""จัดที่ดิน!AA47"")"),9)</f>
        <v>9</v>
      </c>
      <c r="K362" s="497">
        <f t="shared" ca="1" si="161"/>
        <v>2.3622047244094486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IFERROR(__xludf.DUMMYFUNCTION("IMPORTRANGE(""https://docs.google.com/spreadsheets/d/1XWAQStnk-4SwqDmLtmXYiTMKHgktTP8We1SCoS47DrQ/edit?usp=sharing"",""จัดที่ดิน!AB47"")"),121.63)</f>
        <v>121.63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174</v>
      </c>
      <c r="K364" s="479">
        <f t="shared" ca="1" si="161"/>
        <v>21.722846441947567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9</v>
      </c>
      <c r="K365" s="491">
        <f t="shared" ca="1" si="161"/>
        <v>90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IFERROR(__xludf.DUMMYFUNCTION("IMPORTRANGE(""https://docs.google.com/spreadsheets/d/1XWAQStnk-4SwqDmLtmXYiTMKHgktTP8We1SCoS47DrQ/edit?usp=sharing"",""จัดที่ดิน!F47"")"),27.89)</f>
        <v>27.89</v>
      </c>
      <c r="K369" s="497">
        <f t="shared" ca="1" si="163"/>
        <v>27.89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IFERROR(__xludf.DUMMYFUNCTION("IMPORTRANGE(""https://docs.google.com/spreadsheets/d/1XWAQStnk-4SwqDmLtmXYiTMKHgktTP8We1SCoS47DrQ/edit?usp=sharing"",""จัดที่ดิน!G47"")"),9)</f>
        <v>9</v>
      </c>
      <c r="K370" s="497">
        <f t="shared" ca="1" si="163"/>
        <v>90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IFERROR(__xludf.DUMMYFUNCTION("IMPORTRANGE(""https://docs.google.com/spreadsheets/d/1XWAQStnk-4SwqDmLtmXYiTMKHgktTP8We1SCoS47DrQ/edit?usp=sharing"",""จัดที่ดิน!H47"")"),121.63)</f>
        <v>121.63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IFERROR(__xludf.DUMMYFUNCTION("IMPORTRANGE(""https://docs.google.com/spreadsheets/d/1XWAQStnk-4SwqDmLtmXYiTMKHgktTP8We1SCoS47DrQ/edit?usp=sharing"",""จัดที่ดิน!I47"")"),9)</f>
        <v>9</v>
      </c>
      <c r="K372" s="497">
        <f t="shared" ca="1" si="163"/>
        <v>90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IFERROR(__xludf.DUMMYFUNCTION("IMPORTRANGE(""https://docs.google.com/spreadsheets/d/1XWAQStnk-4SwqDmLtmXYiTMKHgktTP8We1SCoS47DrQ/edit?usp=sharing"",""จัดที่ดิน!J47"")"),121.63)</f>
        <v>121.63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165</v>
      </c>
      <c r="K374" s="491">
        <f t="shared" ca="1" si="163"/>
        <v>20.859671302149177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IFERROR(__xludf.DUMMYFUNCTION("IMPORTRANGE(""https://docs.google.com/spreadsheets/d/1XWAQStnk-4SwqDmLtmXYiTMKHgktTP8We1SCoS47DrQ/edit?usp=sharing"",""จัดที่ดิน!AH47"")"),189)</f>
        <v>189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IFERROR(__xludf.DUMMYFUNCTION("IMPORTRANGE(""https://docs.google.com/spreadsheets/d/1XWAQStnk-4SwqDmLtmXYiTMKHgktTP8We1SCoS47DrQ/edit?usp=sharing"",""จัดที่ดิน!AI47"")"),2106.01)</f>
        <v>2106.0100000000002</v>
      </c>
      <c r="K378" s="497">
        <f t="shared" ca="1" si="164"/>
        <v>52.650250000000007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IFERROR(__xludf.DUMMYFUNCTION("IMPORTRANGE(""https://docs.google.com/spreadsheets/d/1XWAQStnk-4SwqDmLtmXYiTMKHgktTP8We1SCoS47DrQ/edit?usp=sharing"",""จัดที่ดิน!AJ47"")"),354)</f>
        <v>354</v>
      </c>
      <c r="K379" s="497">
        <f t="shared" ca="1" si="164"/>
        <v>44.753476611883691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IFERROR(__xludf.DUMMYFUNCTION("IMPORTRANGE(""https://docs.google.com/spreadsheets/d/1XWAQStnk-4SwqDmLtmXYiTMKHgktTP8We1SCoS47DrQ/edit?usp=sharing"",""จัดที่ดิน!AK47"")"),4573.97)</f>
        <v>4573.97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IFERROR(__xludf.DUMMYFUNCTION("IMPORTRANGE(""https://docs.google.com/spreadsheets/d/1XWAQStnk-4SwqDmLtmXYiTMKHgktTP8We1SCoS47DrQ/edit?usp=sharing"",""จัดที่ดิน!AL47"")"),165)</f>
        <v>165</v>
      </c>
      <c r="K381" s="497">
        <f t="shared" ca="1" si="164"/>
        <v>20.859671302149177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IFERROR(__xludf.DUMMYFUNCTION("IMPORTRANGE(""https://docs.google.com/spreadsheets/d/1XWAQStnk-4SwqDmLtmXYiTMKHgktTP8We1SCoS47DrQ/edit?usp=sharing"",""จัดที่ดิน!AM47"")"),2467.95)</f>
        <v>2467.9499999999998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IFERROR(__xludf.DUMMYFUNCTION("IMPORTRANGE(""https://docs.google.com/spreadsheets/d/1QqKyyYR6Q21VydFLVH3TRQUabQu_ym0Zz7PgGX0-kHA/edit?usp=sharing"",""แผน!EW47"")"),120)</f>
        <v>120</v>
      </c>
      <c r="J385" s="500">
        <f ca="1">IFERROR(__xludf.DUMMYFUNCTION("IMPORTRANGE(""https://docs.google.com/spreadsheets/d/1XWAQStnk-4SwqDmLtmXYiTMKHgktTP8We1SCoS47DrQ/edit?usp=sharing"",""จัดที่ดิน!AP47"")"),0)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2030048</v>
      </c>
      <c r="M414" s="548">
        <f t="shared" si="181"/>
        <v>0</v>
      </c>
      <c r="N414" s="548">
        <f t="shared" si="181"/>
        <v>469576.63</v>
      </c>
      <c r="O414" s="548">
        <f ca="1">IF(L414&gt;0,N414*100/L414,0)</f>
        <v>23.131306747426663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27035</v>
      </c>
      <c r="O419" s="155">
        <f t="shared" ref="O419:O424" ca="1" si="185">IF(L419&gt;0,N419*100/L419,0)</f>
        <v>34.369438087973556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27035</v>
      </c>
      <c r="O421" s="93">
        <f t="shared" ca="1" si="185"/>
        <v>34.369438087973556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27035</v>
      </c>
      <c r="O422" s="497">
        <f t="shared" ca="1" si="185"/>
        <v>34.369438087973556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v>0</v>
      </c>
      <c r="N424" s="93">
        <f>N425+N426+N427+N428</f>
        <v>27035</v>
      </c>
      <c r="O424" s="93">
        <f t="shared" ca="1" si="185"/>
        <v>34.369438087973556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22335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4700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IFERROR(__xludf.DUMMYFUNCTION("IMPORTRANGE(""https://docs.google.com/spreadsheets/d/1QqKyyYR6Q21VydFLVH3TRQUabQu_ym0Zz7PgGX0-kHA/edit?usp=sharing"",""แผน!FC47"")"),20)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IFERROR(__xludf.DUMMYFUNCTION("IMPORTRANGE(""https://docs.google.com/spreadsheets/d/1QqKyyYR6Q21VydFLVH3TRQUabQu_ym0Zz7PgGX0-kHA/edit?usp=sharing"",""แผน!FD47"")"),0)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IFERROR(__xludf.DUMMYFUNCTION("IMPORTRANGE(""https://docs.google.com/spreadsheets/d/1QqKyyYR6Q21VydFLVH3TRQUabQu_ym0Zz7PgGX0-kHA/edit?usp=sharing"",""แผน!FF47"")"),20)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90</v>
      </c>
      <c r="J442" s="584">
        <f t="shared" si="195"/>
        <v>90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400</v>
      </c>
      <c r="J443" s="564">
        <f t="shared" si="196"/>
        <v>200</v>
      </c>
      <c r="K443" s="565">
        <f t="shared" ca="1" si="194"/>
        <v>50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si="197"/>
        <v>0</v>
      </c>
      <c r="N444" s="195">
        <f t="shared" si="197"/>
        <v>116713.25</v>
      </c>
      <c r="O444" s="195">
        <f t="shared" ref="O444:O449" ca="1" si="198">IF(L444&gt;0,N444*100/L444,0)</f>
        <v>15.918684804905727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733184</v>
      </c>
      <c r="M446" s="93">
        <f t="shared" si="200"/>
        <v>0</v>
      </c>
      <c r="N446" s="93">
        <f t="shared" si="200"/>
        <v>116713.25</v>
      </c>
      <c r="O446" s="93">
        <f t="shared" ca="1" si="198"/>
        <v>15.918684804905727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si="201"/>
        <v>0</v>
      </c>
      <c r="N447" s="497">
        <f t="shared" si="201"/>
        <v>116713.25</v>
      </c>
      <c r="O447" s="497">
        <f t="shared" ca="1" si="198"/>
        <v>15.918684804905727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v>0</v>
      </c>
      <c r="N449" s="93">
        <f>N450+N451+N452+N453</f>
        <v>116713.25</v>
      </c>
      <c r="O449" s="93">
        <f t="shared" ca="1" si="198"/>
        <v>15.918684804905727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30830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49903.25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35980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200</v>
      </c>
      <c r="K462" s="497">
        <f ca="1">IF(I462&gt;0,J462*100/I462,0)</f>
        <v>50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IFERROR(__xludf.DUMMYFUNCTION("IMPORTRANGE(""https://docs.google.com/spreadsheets/d/1QqKyyYR6Q21VydFLVH3TRQUabQu_ym0Zz7PgGX0-kHA/edit?usp=sharing"",""แผน!FX47"")"),51)</f>
        <v>51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IFERROR(__xludf.DUMMYFUNCTION("IMPORTRANGE(""https://docs.google.com/spreadsheets/d/1QqKyyYR6Q21VydFLVH3TRQUabQu_ym0Zz7PgGX0-kHA/edit?usp=sharing"",""แผน!FW47"")"),500)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si="206"/>
        <v>0</v>
      </c>
      <c r="N467" s="195">
        <f t="shared" si="206"/>
        <v>14690</v>
      </c>
      <c r="O467" s="195">
        <f t="shared" ref="O467:O472" ca="1" si="207">IF(L467&gt;0,N467*100/L467,0)</f>
        <v>3.5398187439306206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414993</v>
      </c>
      <c r="M469" s="93">
        <f t="shared" si="209"/>
        <v>0</v>
      </c>
      <c r="N469" s="93">
        <f t="shared" si="209"/>
        <v>14690</v>
      </c>
      <c r="O469" s="93">
        <f t="shared" ca="1" si="207"/>
        <v>3.5398187439306206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si="210"/>
        <v>0</v>
      </c>
      <c r="N470" s="497">
        <f t="shared" si="210"/>
        <v>14690</v>
      </c>
      <c r="O470" s="497">
        <f t="shared" ca="1" si="207"/>
        <v>3.5398187439306206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v>0</v>
      </c>
      <c r="N472" s="93">
        <f>N473+N474+N475+N476</f>
        <v>14690</v>
      </c>
      <c r="O472" s="93">
        <f t="shared" ca="1" si="207"/>
        <v>3.5398187439306206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1200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13490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IFERROR(__xludf.DUMMYFUNCTION("IMPORTRANGE(""https://docs.google.com/spreadsheets/d/1QqKyyYR6Q21VydFLVH3TRQUabQu_ym0Zz7PgGX0-kHA/edit?usp=sharing"",""แผน!GU47"")"),0)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3345</v>
      </c>
      <c r="J543" s="681">
        <f t="shared" si="235"/>
        <v>3345.5</v>
      </c>
      <c r="K543" s="682">
        <f t="shared" ca="1" si="234"/>
        <v>100.01494768310911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361311</v>
      </c>
      <c r="M544" s="155">
        <f t="shared" si="236"/>
        <v>0</v>
      </c>
      <c r="N544" s="155">
        <f t="shared" si="236"/>
        <v>203545</v>
      </c>
      <c r="O544" s="155">
        <f t="shared" ref="O544:O549" ca="1" si="237">IF(L544&gt;0,N544*100/L544,0)</f>
        <v>56.335124034419103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361311</v>
      </c>
      <c r="M546" s="93">
        <f t="shared" si="240"/>
        <v>0</v>
      </c>
      <c r="N546" s="93">
        <f t="shared" si="240"/>
        <v>203545</v>
      </c>
      <c r="O546" s="93">
        <f t="shared" ca="1" si="237"/>
        <v>56.335124034419103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361311</v>
      </c>
      <c r="M547" s="497">
        <f t="shared" si="241"/>
        <v>0</v>
      </c>
      <c r="N547" s="497">
        <f t="shared" si="241"/>
        <v>203545</v>
      </c>
      <c r="O547" s="497">
        <f t="shared" ca="1" si="237"/>
        <v>56.335124034419103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IFERROR(__xludf.DUMMYFUNCTION("IMPORTRANGE(""https://docs.google.com/spreadsheets/d/1QqKyyYR6Q21VydFLVH3TRQUabQu_ym0Zz7PgGX0-kHA/edit?usp=sharing"",""แผน!HB47"")"),361311)</f>
        <v>361311</v>
      </c>
      <c r="M549" s="93">
        <v>0</v>
      </c>
      <c r="N549" s="93">
        <f>N550+N551+N552+N553+N554</f>
        <v>203545</v>
      </c>
      <c r="O549" s="93">
        <f t="shared" ca="1" si="237"/>
        <v>56.335124034419103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52000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151545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3345</v>
      </c>
      <c r="J559" s="702">
        <f t="shared" si="245"/>
        <v>3345.5</v>
      </c>
      <c r="K559" s="671">
        <f t="shared" ref="K559:K561" ca="1" si="246">IF(I559&gt;0,J559*100/I559,0)</f>
        <v>100.01494768310911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5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5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5">
        <f t="shared" ref="J576:J577" si="250">J578+J580+J582+J588+J590</f>
        <v>3345.5</v>
      </c>
      <c r="K576" s="411">
        <f t="shared" ref="K576:K577" ca="1" si="251">IF(I576&gt;0,J576*100/I576,0)</f>
        <v>100.01494768310911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5">
        <f t="shared" si="250"/>
        <v>1178</v>
      </c>
      <c r="K577" s="411">
        <f t="shared" ca="1" si="251"/>
        <v>100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3025.6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1088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233.4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72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86.5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18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70.3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16.2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2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5126.55</v>
      </c>
      <c r="J592" s="702">
        <f t="shared" si="253"/>
        <v>1416</v>
      </c>
      <c r="K592" s="671">
        <f t="shared" ref="K592:K594" ca="1" si="254">IF(I592&gt;0,J592*100/I592,0)</f>
        <v>27.620914650203353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1416</v>
      </c>
      <c r="K593" s="411">
        <f t="shared" ca="1" si="254"/>
        <v>27.620914650203353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102</v>
      </c>
      <c r="K594" s="411">
        <f t="shared" ca="1" si="254"/>
        <v>29.142857142857142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1024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76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774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62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250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14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11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1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306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302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16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86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9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IFERROR(__xludf.DUMMYFUNCTION("IMPORTRANGE(""https://docs.google.com/spreadsheets/d/1QqKyyYR6Q21VydFLVH3TRQUabQu_ym0Zz7PgGX0-kHA/edit?usp=sharing"",""แผน!HL47"")"),1)</f>
        <v>1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IFERROR(__xludf.DUMMYFUNCTION("IMPORTRANGE(""https://docs.google.com/spreadsheets/d/1QqKyyYR6Q21VydFLVH3TRQUabQu_ym0Zz7PgGX0-kHA/edit?usp=sharing"",""แผน!HK47"")"),1)</f>
        <v>1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230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423310</v>
      </c>
      <c r="M629" s="195">
        <f t="shared" si="263"/>
        <v>0</v>
      </c>
      <c r="N629" s="195">
        <f t="shared" si="263"/>
        <v>100393.38</v>
      </c>
      <c r="O629" s="195">
        <f t="shared" ref="O629:O634" ca="1" si="264">IF(L629&gt;0,N629*100/L629,0)</f>
        <v>23.716278850015357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423310</v>
      </c>
      <c r="M631" s="93">
        <f t="shared" si="266"/>
        <v>0</v>
      </c>
      <c r="N631" s="93">
        <f t="shared" si="266"/>
        <v>100393.38</v>
      </c>
      <c r="O631" s="93">
        <f t="shared" ca="1" si="264"/>
        <v>23.716278850015357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423310</v>
      </c>
      <c r="M632" s="497">
        <f t="shared" si="267"/>
        <v>0</v>
      </c>
      <c r="N632" s="497">
        <f t="shared" si="267"/>
        <v>100393.38</v>
      </c>
      <c r="O632" s="497">
        <f t="shared" ca="1" si="264"/>
        <v>23.716278850015357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v>0</v>
      </c>
      <c r="N634" s="93">
        <f>N635+N636+N637+N638</f>
        <v>100393.38</v>
      </c>
      <c r="O634" s="93">
        <f t="shared" ca="1" si="264"/>
        <v>23.716278850015357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52000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48393.38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IFERROR(__xludf.DUMMYFUNCTION("IMPORTRANGE(""https://docs.google.com/spreadsheets/d/1XWAQStnk-4SwqDmLtmXYiTMKHgktTP8We1SCoS47DrQ/edit?usp=sharing"",""จัดที่ดิน!AZ47"")"),0)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6340</v>
      </c>
      <c r="O655" s="195">
        <f t="shared" ref="O655:O660" ca="1" si="274">IF(L655&gt;0,N655*100/L655,0)</f>
        <v>51.12903225806452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6340</v>
      </c>
      <c r="O657" s="93">
        <f t="shared" ca="1" si="274"/>
        <v>51.12903225806452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si="277"/>
        <v>0</v>
      </c>
      <c r="N658" s="497">
        <f t="shared" si="277"/>
        <v>6340</v>
      </c>
      <c r="O658" s="497">
        <f t="shared" ca="1" si="274"/>
        <v>51.12903225806452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v>0</v>
      </c>
      <c r="N660" s="93">
        <f>N661+N662+N663+N664</f>
        <v>6340</v>
      </c>
      <c r="O660" s="93">
        <f t="shared" ca="1" si="274"/>
        <v>51.12903225806452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6340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IFERROR(__xludf.DUMMYFUNCTION("IMPORTRANGE(""https://docs.google.com/spreadsheets/d/1QqKyyYR6Q21VydFLVH3TRQUabQu_ym0Zz7PgGX0-kHA/edit?usp=sharing"",""แผน!IA47"")"),100)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6190</v>
      </c>
      <c r="M685" s="195">
        <f t="shared" si="282"/>
        <v>0</v>
      </c>
      <c r="N685" s="195">
        <f t="shared" si="282"/>
        <v>860</v>
      </c>
      <c r="O685" s="195">
        <f t="shared" ref="O685:O688" ca="1" si="283">IF(L685&gt;0,N685*100/L685,0)</f>
        <v>13.893376413570275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6190</v>
      </c>
      <c r="M687" s="93">
        <f t="shared" si="285"/>
        <v>0</v>
      </c>
      <c r="N687" s="93">
        <f t="shared" si="285"/>
        <v>860</v>
      </c>
      <c r="O687" s="93">
        <f t="shared" ca="1" si="283"/>
        <v>13.893376413570275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6190</v>
      </c>
      <c r="M688" s="497">
        <f t="shared" si="286"/>
        <v>0</v>
      </c>
      <c r="N688" s="497">
        <f t="shared" si="286"/>
        <v>860</v>
      </c>
      <c r="O688" s="497">
        <f t="shared" ca="1" si="283"/>
        <v>13.893376413570275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v>0</v>
      </c>
      <c r="N690" s="93">
        <f>N691+N692+N693+N694</f>
        <v>860</v>
      </c>
      <c r="O690" s="93">
        <f ca="1">IF(L690&gt;0,N690*100/L690,0)</f>
        <v>13.893376413570275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860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IFERROR(__xludf.DUMMYFUNCTION("IMPORTRANGE(""https://docs.google.com/spreadsheets/d/1QqKyyYR6Q21VydFLVH3TRQUabQu_ym0Zz7PgGX0-kHA/edit?usp=sharing"",""แผน!IE47"")"),20)</f>
        <v>20</v>
      </c>
      <c r="J701" s="675">
        <f>J704+J707</f>
        <v>48.95</v>
      </c>
      <c r="K701" s="195">
        <f t="shared" ca="1" si="290"/>
        <v>244.75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2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3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/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IFERROR(__xludf.DUMMYFUNCTION("IMPORTRANGE(""https://docs.google.com/spreadsheets/d/1QqKyyYR6Q21VydFLVH3TRQUabQu_ym0Zz7PgGX0-kHA/edit?usp=sharing"",""แผน!IG47"")"),0)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IFERROR(__xludf.DUMMYFUNCTION("IMPORTRANGE(""https://docs.google.com/spreadsheets/d/1QqKyyYR6Q21VydFLVH3TRQUabQu_ym0Zz7PgGX0-kHA/edit?usp=sharing"",""แผน!IH47"")"),0)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IFERROR(__xludf.DUMMYFUNCTION("IMPORTRANGE(""https://docs.google.com/spreadsheets/d/1XWAQStnk-4SwqDmLtmXYiTMKHgktTP8We1SCoS47DrQ/edit?usp=sharing"",""จัดที่ดิน!BF47"")"),0)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IFERROR(__xludf.DUMMYFUNCTION("IMPORTRANGE(""https://docs.google.com/spreadsheets/d/1XWAQStnk-4SwqDmLtmXYiTMKHgktTP8We1SCoS47DrQ/edit?usp=sharing"",""จัดที่ดิน!BG47"")"),0)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IFERROR(__xludf.DUMMYFUNCTION("IMPORTRANGE(""https://docs.google.com/spreadsheets/d/1QqKyyYR6Q21VydFLVH3TRQUabQu_ym0Zz7PgGX0-kHA/edit?usp=sharing"",""แผน!IJ47"")"),4)</f>
        <v>4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IFERROR(__xludf.DUMMYFUNCTION("IMPORTRANGE(""https://docs.google.com/spreadsheets/d/1QqKyyYR6Q21VydFLVH3TRQUabQu_ym0Zz7PgGX0-kHA/edit?usp=sharing"",""แผน!IK47"")"),40)</f>
        <v>40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IFERROR(__xludf.DUMMYFUNCTION("IMPORTRANGE(""https://docs.google.com/spreadsheets/d/1QqKyyYR6Q21VydFLVH3TRQUabQu_ym0Zz7PgGX0-kHA/edit?usp=sharing"",""แผน!IP47"")"),0)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IFERROR(__xludf.DUMMYFUNCTION("IMPORTRANGE(""https://docs.google.com/spreadsheets/d/19vJNZY_5yjcGF2XGBMNZRCAIB0Kwfpjp8YEOfu-bneM/edit?usp=sharing"",""งานกองทุน!F47"")"),144104.76)</f>
        <v>144104.76</v>
      </c>
      <c r="K821" s="497">
        <f t="shared" ref="K821:K828" ca="1" si="335">IF(I821&gt;0,J821*100/I821,0)</f>
        <v>3.8695716653747172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IFERROR(__xludf.DUMMYFUNCTION("IMPORTRANGE(""https://docs.google.com/spreadsheets/d/19vJNZY_5yjcGF2XGBMNZRCAIB0Kwfpjp8YEOfu-bneM/edit?usp=sharing"",""งานกองทุน!E47"")"),18)</f>
        <v>18</v>
      </c>
      <c r="K822" s="497">
        <f t="shared" ca="1" si="335"/>
        <v>5.2631578947368425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IFERROR(__xludf.DUMMYFUNCTION("IMPORTRANGE(""https://docs.google.com/spreadsheets/d/19vJNZY_5yjcGF2XGBMNZRCAIB0Kwfpjp8YEOfu-bneM/edit?usp=sharing"",""งานกองทุน!K47"")"),194774.97)</f>
        <v>194774.97</v>
      </c>
      <c r="K823" s="497">
        <f t="shared" ca="1" si="335"/>
        <v>35.396522160997677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IFERROR(__xludf.DUMMYFUNCTION("IMPORTRANGE(""https://docs.google.com/spreadsheets/d/19vJNZY_5yjcGF2XGBMNZRCAIB0Kwfpjp8YEOfu-bneM/edit?usp=sharing"",""งานกองทุน!J47"")"),21)</f>
        <v>21</v>
      </c>
      <c r="K824" s="497">
        <f t="shared" ca="1" si="335"/>
        <v>55.263157894736842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IFERROR(__xludf.DUMMYFUNCTION("IMPORTRANGE(""https://docs.google.com/spreadsheets/d/19vJNZY_5yjcGF2XGBMNZRCAIB0Kwfpjp8YEOfu-bneM/edit?usp=sharing"",""งานกองทุน!P47"")"),265858.47)</f>
        <v>265858.46999999997</v>
      </c>
      <c r="K825" s="497">
        <f t="shared" ca="1" si="335"/>
        <v>41.673283340362516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IFERROR(__xludf.DUMMYFUNCTION("IMPORTRANGE(""https://docs.google.com/spreadsheets/d/19vJNZY_5yjcGF2XGBMNZRCAIB0Kwfpjp8YEOfu-bneM/edit?usp=sharing"",""งานกองทุน!O47"")"),59)</f>
        <v>59</v>
      </c>
      <c r="K826" s="497">
        <f t="shared" ca="1" si="335"/>
        <v>79.729729729729726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IFERROR(__xludf.DUMMYFUNCTION("IMPORTRANGE(""https://docs.google.com/spreadsheets/d/19vJNZY_5yjcGF2XGBMNZRCAIB0Kwfpjp8YEOfu-bneM/edit?usp=sharing"",""งานกองทุน!R47"")"),115)</f>
        <v>115</v>
      </c>
      <c r="J828" s="500">
        <f ca="1">IFERROR(__xludf.DUMMYFUNCTION("IMPORTRANGE(""https://docs.google.com/spreadsheets/d/19vJNZY_5yjcGF2XGBMNZRCAIB0Kwfpjp8YEOfu-bneM/edit?usp=sharing"",""งานกองทุน!T47"")"),0)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A4895-6E5B-436E-A5A7-65A687920CC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354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4617622</v>
      </c>
      <c r="N8" s="22">
        <f t="shared" ca="1" si="0"/>
        <v>2405154.2800000003</v>
      </c>
      <c r="O8" s="22">
        <f t="shared" ref="O8:O16" ca="1" si="1">IF(L8&gt;0,N8*100/L8,0)</f>
        <v>28.460710172826492</v>
      </c>
      <c r="P8" s="22">
        <f t="shared" ref="P8:P16" ca="1" si="2">IF(M8&gt;0,N8*100/M8,0)</f>
        <v>52.086426303408992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4617622</v>
      </c>
      <c r="N10" s="30">
        <f t="shared" ca="1" si="3"/>
        <v>2405154.2800000003</v>
      </c>
      <c r="O10" s="30">
        <f t="shared" ca="1" si="1"/>
        <v>28.460710172826492</v>
      </c>
      <c r="P10" s="30">
        <f t="shared" ca="1" si="2"/>
        <v>52.086426303408992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6530288</v>
      </c>
      <c r="M11" s="497">
        <f t="shared" ca="1" si="4"/>
        <v>2697122</v>
      </c>
      <c r="N11" s="497">
        <f t="shared" ca="1" si="4"/>
        <v>1992169.2800000003</v>
      </c>
      <c r="O11" s="497">
        <f t="shared" ca="1" si="1"/>
        <v>30.506606753025292</v>
      </c>
      <c r="P11" s="497">
        <f t="shared" ca="1" si="2"/>
        <v>73.862779659207121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6530288</v>
      </c>
      <c r="M13" s="93">
        <f t="shared" ca="1" si="5"/>
        <v>2697122</v>
      </c>
      <c r="N13" s="93">
        <f t="shared" ca="1" si="5"/>
        <v>1992169.2800000003</v>
      </c>
      <c r="O13" s="93">
        <f t="shared" ca="1" si="1"/>
        <v>30.506606753025292</v>
      </c>
      <c r="P13" s="93">
        <f t="shared" ca="1" si="2"/>
        <v>73.862779659207121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1920500</v>
      </c>
      <c r="N14" s="497">
        <f t="shared" ca="1" si="6"/>
        <v>412985</v>
      </c>
      <c r="O14" s="497">
        <f t="shared" ca="1" si="1"/>
        <v>21.504035407445979</v>
      </c>
      <c r="P14" s="497">
        <f t="shared" ca="1" si="2"/>
        <v>21.504035407445979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1920500</v>
      </c>
      <c r="N16" s="52">
        <f t="shared" ca="1" si="7"/>
        <v>412985</v>
      </c>
      <c r="O16" s="52">
        <f t="shared" ca="1" si="1"/>
        <v>21.504035407445979</v>
      </c>
      <c r="P16" s="52">
        <f t="shared" ca="1" si="2"/>
        <v>21.504035407445979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4617622</v>
      </c>
      <c r="N18" s="22">
        <f t="shared" ca="1" si="8"/>
        <v>1782461.1400000001</v>
      </c>
      <c r="O18" s="22">
        <f t="shared" ref="O18:O26" ca="1" si="9">IF(L18&gt;0,N18*100/L18,0)</f>
        <v>31.97691691668706</v>
      </c>
      <c r="P18" s="22">
        <f t="shared" ref="P18:P26" ca="1" si="10">IF(M18&gt;0,N18*100/M18,0)</f>
        <v>38.60127875343629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4617622</v>
      </c>
      <c r="N20" s="30">
        <f t="shared" ca="1" si="11"/>
        <v>1782461.1400000001</v>
      </c>
      <c r="O20" s="30">
        <f t="shared" ca="1" si="9"/>
        <v>31.97691691668706</v>
      </c>
      <c r="P20" s="30">
        <f t="shared" ca="1" si="10"/>
        <v>38.60127875343629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2697122</v>
      </c>
      <c r="N21" s="497">
        <f t="shared" ca="1" si="12"/>
        <v>1369476.1400000001</v>
      </c>
      <c r="O21" s="497">
        <f t="shared" ca="1" si="9"/>
        <v>37.481775794041788</v>
      </c>
      <c r="P21" s="497">
        <f t="shared" ca="1" si="10"/>
        <v>50.775461399224803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3653712</v>
      </c>
      <c r="M23" s="93">
        <f t="shared" ca="1" si="13"/>
        <v>2697122</v>
      </c>
      <c r="N23" s="93">
        <f t="shared" ca="1" si="13"/>
        <v>1369476.1400000001</v>
      </c>
      <c r="O23" s="93">
        <f t="shared" ca="1" si="9"/>
        <v>37.481775794041788</v>
      </c>
      <c r="P23" s="93">
        <f t="shared" ca="1" si="10"/>
        <v>50.775461399224803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1920500</v>
      </c>
      <c r="N24" s="497">
        <f t="shared" ca="1" si="14"/>
        <v>412985</v>
      </c>
      <c r="O24" s="497">
        <f t="shared" ca="1" si="9"/>
        <v>21.504035407445979</v>
      </c>
      <c r="P24" s="497">
        <f t="shared" ca="1" si="10"/>
        <v>21.504035407445979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1920500</v>
      </c>
      <c r="N26" s="52">
        <f t="shared" ca="1" si="15"/>
        <v>412985</v>
      </c>
      <c r="O26" s="52">
        <f t="shared" ca="1" si="9"/>
        <v>21.504035407445979</v>
      </c>
      <c r="P26" s="52">
        <f t="shared" ca="1" si="10"/>
        <v>21.504035407445979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si="16"/>
        <v>0</v>
      </c>
      <c r="N28" s="22">
        <f t="shared" si="16"/>
        <v>622693.14</v>
      </c>
      <c r="O28" s="22">
        <f t="shared" ref="O28:O37" ca="1" si="17">IF(L28&gt;0,N28*100/L28,0)</f>
        <v>21.647025491417573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si="19"/>
        <v>0</v>
      </c>
      <c r="N30" s="30">
        <f t="shared" si="19"/>
        <v>622693.14</v>
      </c>
      <c r="O30" s="30">
        <f t="shared" ca="1" si="17"/>
        <v>21.647025491417573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2876576</v>
      </c>
      <c r="M31" s="497">
        <f t="shared" si="20"/>
        <v>0</v>
      </c>
      <c r="N31" s="497">
        <f t="shared" si="20"/>
        <v>622693.14</v>
      </c>
      <c r="O31" s="497">
        <f t="shared" ca="1" si="17"/>
        <v>21.647025491417573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2876576</v>
      </c>
      <c r="M33" s="93">
        <f t="shared" si="21"/>
        <v>0</v>
      </c>
      <c r="N33" s="93">
        <f t="shared" si="21"/>
        <v>622693.14</v>
      </c>
      <c r="O33" s="93">
        <f t="shared" ca="1" si="17"/>
        <v>21.647025491417573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5574212</v>
      </c>
      <c r="M37" s="843">
        <f t="shared" ca="1" si="24"/>
        <v>4617622</v>
      </c>
      <c r="N37" s="843">
        <f t="shared" ca="1" si="24"/>
        <v>1782461.1400000001</v>
      </c>
      <c r="O37" s="843">
        <f t="shared" ca="1" si="17"/>
        <v>31.97691691668706</v>
      </c>
      <c r="P37" s="843">
        <f t="shared" ca="1" si="18"/>
        <v>38.60127875343629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730372</v>
      </c>
      <c r="N41" s="85">
        <f t="shared" ca="1" si="25"/>
        <v>259385</v>
      </c>
      <c r="O41" s="85">
        <f t="shared" ref="O41:O49" ca="1" si="26">IF(L41&gt;0,N41*100/L41,0)</f>
        <v>36.003592239208707</v>
      </c>
      <c r="P41" s="85">
        <f t="shared" ref="P41:P49" ca="1" si="27">IF(M41&gt;0,N41*100/M41,0)</f>
        <v>35.514094187619463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730372</v>
      </c>
      <c r="N43" s="92">
        <f t="shared" ca="1" si="28"/>
        <v>259385</v>
      </c>
      <c r="O43" s="92">
        <f t="shared" ca="1" si="26"/>
        <v>36.003592239208707</v>
      </c>
      <c r="P43" s="92">
        <f t="shared" ca="1" si="27"/>
        <v>35.514094187619463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730372</v>
      </c>
      <c r="N44" s="497">
        <f t="shared" ca="1" si="29"/>
        <v>259385</v>
      </c>
      <c r="O44" s="497">
        <f t="shared" ca="1" si="26"/>
        <v>36.003592239208707</v>
      </c>
      <c r="P44" s="497">
        <f t="shared" ca="1" si="27"/>
        <v>35.514094187619463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IFERROR(__xludf.DUMMYFUNCTION("IMPORTRANGE(""https://docs.google.com/spreadsheets/d/1MeEWN-I1oV_STSDYn1IFDPWt_1FKiwhDph83XaGc0o0/edit?usp=sharing"",""งบพรบ!R48"")"),730372)</f>
        <v>730372</v>
      </c>
      <c r="N46" s="93">
        <f ca="1">IFERROR(__xludf.DUMMYFUNCTION("IMPORTRANGE(""https://docs.google.com/spreadsheets/d/1MeEWN-I1oV_STSDYn1IFDPWt_1FKiwhDph83XaGc0o0/edit?usp=sharing"",""งบพรบ!T48"")"),259385)</f>
        <v>259385</v>
      </c>
      <c r="O46" s="93">
        <f t="shared" ca="1" si="26"/>
        <v>36.003592239208707</v>
      </c>
      <c r="P46" s="93">
        <f t="shared" ca="1" si="27"/>
        <v>35.514094187619463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2154120</v>
      </c>
      <c r="N53" s="116">
        <f t="shared" ca="1" si="31"/>
        <v>368980.54</v>
      </c>
      <c r="O53" s="116">
        <f t="shared" ref="O53:O61" ca="1" si="32">IF(L53&gt;0,N53*100/L53,0)</f>
        <v>16.322961291749614</v>
      </c>
      <c r="P53" s="116">
        <f t="shared" ref="P53:P61" ca="1" si="33">IF(M53&gt;0,N53*100/M53,0)</f>
        <v>17.129061519321116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2154120</v>
      </c>
      <c r="N55" s="123">
        <f t="shared" ca="1" si="34"/>
        <v>368980.54</v>
      </c>
      <c r="O55" s="123">
        <f t="shared" ca="1" si="32"/>
        <v>16.322961291749614</v>
      </c>
      <c r="P55" s="123">
        <f t="shared" ca="1" si="33"/>
        <v>17.129061519321116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545620</v>
      </c>
      <c r="N56" s="497">
        <f t="shared" ca="1" si="35"/>
        <v>267980.53999999998</v>
      </c>
      <c r="O56" s="497">
        <f t="shared" ca="1" si="32"/>
        <v>41.101309815950913</v>
      </c>
      <c r="P56" s="497">
        <f t="shared" ca="1" si="33"/>
        <v>49.114867490194634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IFERROR(__xludf.DUMMYFUNCTION("IMPORTRANGE(""https://docs.google.com/spreadsheets/d/1MeEWN-I1oV_STSDYn1IFDPWt_1FKiwhDph83XaGc0o0/edit?usp=sharing"",""งบพรบ!AB48"")"),545620)</f>
        <v>545620</v>
      </c>
      <c r="N58" s="93">
        <f ca="1">IFERROR(__xludf.DUMMYFUNCTION("IMPORTRANGE(""https://docs.google.com/spreadsheets/d/1MeEWN-I1oV_STSDYn1IFDPWt_1FKiwhDph83XaGc0o0/edit?usp=sharing"",""งบพรบ!AD48"")"),267980.54)</f>
        <v>267980.53999999998</v>
      </c>
      <c r="O58" s="93">
        <f t="shared" ca="1" si="32"/>
        <v>41.101309815950913</v>
      </c>
      <c r="P58" s="93">
        <f t="shared" ca="1" si="33"/>
        <v>49.114867490194634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1608500</v>
      </c>
      <c r="N59" s="497">
        <f t="shared" ca="1" si="36"/>
        <v>101000</v>
      </c>
      <c r="O59" s="497">
        <f t="shared" ca="1" si="32"/>
        <v>6.2791420578178423</v>
      </c>
      <c r="P59" s="497">
        <f t="shared" ca="1" si="33"/>
        <v>6.2791420578178423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IFERROR(__xludf.DUMMYFUNCTION("IMPORTRANGE(""https://docs.google.com/spreadsheets/d/1MeEWN-I1oV_STSDYn1IFDPWt_1FKiwhDph83XaGc0o0/edit?usp=sharing"",""งบพรบ!AC48"")"),1608500)</f>
        <v>1608500</v>
      </c>
      <c r="N61" s="52">
        <f ca="1">IFERROR(__xludf.DUMMYFUNCTION("IMPORTRANGE(""https://docs.google.com/spreadsheets/d/1MeEWN-I1oV_STSDYn1IFDPWt_1FKiwhDph83XaGc0o0/edit?usp=sharing"",""งบพรบ!AE48"")"),101000)</f>
        <v>101000</v>
      </c>
      <c r="O61" s="52">
        <f t="shared" ca="1" si="32"/>
        <v>6.2791420578178423</v>
      </c>
      <c r="P61" s="52">
        <f t="shared" ca="1" si="33"/>
        <v>6.2791420578178423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185000</v>
      </c>
      <c r="N66" s="155">
        <f t="shared" ca="1" si="39"/>
        <v>148281</v>
      </c>
      <c r="O66" s="155">
        <f t="shared" ref="O66:O74" ca="1" si="40">IF(L66&gt;0,N66*100/L66,0)</f>
        <v>38.614843749999999</v>
      </c>
      <c r="P66" s="155">
        <f t="shared" ref="P66:P74" ca="1" si="41">IF(M66&gt;0,N66*100/M66,0)</f>
        <v>80.151891891891893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384000</v>
      </c>
      <c r="M68" s="93">
        <f t="shared" ca="1" si="42"/>
        <v>185000</v>
      </c>
      <c r="N68" s="93">
        <f t="shared" ca="1" si="42"/>
        <v>148281</v>
      </c>
      <c r="O68" s="93">
        <f t="shared" ca="1" si="40"/>
        <v>38.614843749999999</v>
      </c>
      <c r="P68" s="93">
        <f t="shared" ca="1" si="41"/>
        <v>80.151891891891893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185000</v>
      </c>
      <c r="N69" s="497">
        <f t="shared" ca="1" si="43"/>
        <v>148281</v>
      </c>
      <c r="O69" s="497">
        <f t="shared" ca="1" si="40"/>
        <v>38.614843749999999</v>
      </c>
      <c r="P69" s="497">
        <f t="shared" ca="1" si="41"/>
        <v>80.151891891891893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IFERROR(__xludf.DUMMYFUNCTION("IMPORTRANGE(""https://docs.google.com/spreadsheets/d/1MeEWN-I1oV_STSDYn1IFDPWt_1FKiwhDph83XaGc0o0/edit?usp=sharing"",""งบพรบ!AL48"")"),185000)</f>
        <v>185000</v>
      </c>
      <c r="N71" s="93">
        <f ca="1">IFERROR(__xludf.DUMMYFUNCTION("IMPORTRANGE(""https://docs.google.com/spreadsheets/d/1MeEWN-I1oV_STSDYn1IFDPWt_1FKiwhDph83XaGc0o0/edit?usp=sharing"",""งบพรบ!AN48"")"),148281)</f>
        <v>148281</v>
      </c>
      <c r="O71" s="93">
        <f t="shared" ca="1" si="40"/>
        <v>38.614843749999999</v>
      </c>
      <c r="P71" s="93">
        <f t="shared" ca="1" si="41"/>
        <v>80.151891891891893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23840</v>
      </c>
      <c r="N88" s="155">
        <f t="shared" ca="1" si="49"/>
        <v>19980</v>
      </c>
      <c r="O88" s="155">
        <f t="shared" ref="O88:O96" ca="1" si="50">IF(L88&gt;0,N88*100/L88,0)</f>
        <v>23.221757322175733</v>
      </c>
      <c r="P88" s="155">
        <f t="shared" ref="P88:P96" ca="1" si="51">IF(M88&gt;0,N88*100/M88,0)</f>
        <v>83.808724832214764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86040</v>
      </c>
      <c r="M90" s="93">
        <f t="shared" ca="1" si="52"/>
        <v>23840</v>
      </c>
      <c r="N90" s="93">
        <f t="shared" ca="1" si="52"/>
        <v>19980</v>
      </c>
      <c r="O90" s="93">
        <f t="shared" ca="1" si="50"/>
        <v>23.221757322175733</v>
      </c>
      <c r="P90" s="93">
        <f t="shared" ca="1" si="51"/>
        <v>83.808724832214764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23840</v>
      </c>
      <c r="N91" s="497">
        <f t="shared" ca="1" si="53"/>
        <v>19980</v>
      </c>
      <c r="O91" s="497">
        <f t="shared" ca="1" si="50"/>
        <v>23.221757322175733</v>
      </c>
      <c r="P91" s="497">
        <f t="shared" ca="1" si="51"/>
        <v>83.808724832214764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IFERROR(__xludf.DUMMYFUNCTION("IMPORTRANGE(""https://docs.google.com/spreadsheets/d/1MeEWN-I1oV_STSDYn1IFDPWt_1FKiwhDph83XaGc0o0/edit?usp=sharing"",""งบพรบ!AV48"")"),23840)</f>
        <v>23840</v>
      </c>
      <c r="N93" s="93">
        <f ca="1">IFERROR(__xludf.DUMMYFUNCTION("IMPORTRANGE(""https://docs.google.com/spreadsheets/d/1MeEWN-I1oV_STSDYn1IFDPWt_1FKiwhDph83XaGc0o0/edit?usp=sharing"",""งบพรบ!AX48"")"),19980)</f>
        <v>19980</v>
      </c>
      <c r="O93" s="93">
        <f t="shared" ca="1" si="50"/>
        <v>23.221757322175733</v>
      </c>
      <c r="P93" s="93">
        <f t="shared" ca="1" si="51"/>
        <v>83.808724832214764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/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252000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99.99404761904762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252000</v>
      </c>
      <c r="M121" s="93">
        <f t="shared" ca="1" si="63"/>
        <v>252000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99.99404761904762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252000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99.99404761904762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IFERROR(__xludf.DUMMYFUNCTION("IMPORTRANGE(""https://docs.google.com/spreadsheets/d/1MeEWN-I1oV_STSDYn1IFDPWt_1FKiwhDph83XaGc0o0/edit?usp=sharing"",""งบพรบ!BG48"")"),252000)</f>
        <v>252000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99.99404761904762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327750</v>
      </c>
      <c r="N181" s="155">
        <f t="shared" ca="1" si="92"/>
        <v>184004.12</v>
      </c>
      <c r="O181" s="155">
        <f t="shared" ref="O181:O189" ca="1" si="93">IF(L181&gt;0,N181*100/L181,0)</f>
        <v>44.499182587666262</v>
      </c>
      <c r="P181" s="155">
        <f t="shared" ref="P181:P189" ca="1" si="94">IF(M181&gt;0,N181*100/M181,0)</f>
        <v>56.141607932875665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413500</v>
      </c>
      <c r="M183" s="93">
        <f t="shared" ca="1" si="95"/>
        <v>327750</v>
      </c>
      <c r="N183" s="93">
        <f t="shared" ca="1" si="95"/>
        <v>184004.12</v>
      </c>
      <c r="O183" s="93">
        <f t="shared" ca="1" si="93"/>
        <v>44.499182587666262</v>
      </c>
      <c r="P183" s="93">
        <f t="shared" ca="1" si="94"/>
        <v>56.141607932875665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327750</v>
      </c>
      <c r="N184" s="497">
        <f t="shared" ca="1" si="96"/>
        <v>184004.12</v>
      </c>
      <c r="O184" s="497">
        <f t="shared" ca="1" si="93"/>
        <v>44.499182587666262</v>
      </c>
      <c r="P184" s="497">
        <f t="shared" ca="1" si="94"/>
        <v>56.141607932875665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IFERROR(__xludf.DUMMYFUNCTION("IMPORTRANGE(""https://docs.google.com/spreadsheets/d/1MeEWN-I1oV_STSDYn1IFDPWt_1FKiwhDph83XaGc0o0/edit?usp=sharing"",""งบพรบ!CT48"")"),327750)</f>
        <v>327750</v>
      </c>
      <c r="N186" s="93">
        <f ca="1">IFERROR(__xludf.DUMMYFUNCTION("IMPORTRANGE(""https://docs.google.com/spreadsheets/d/1MeEWN-I1oV_STSDYn1IFDPWt_1FKiwhDph83XaGc0o0/edit?usp=sharing"",""งบพรบ!CV48"")"),184004.12)</f>
        <v>184004.12</v>
      </c>
      <c r="O186" s="93">
        <f t="shared" ca="1" si="93"/>
        <v>44.499182587666262</v>
      </c>
      <c r="P186" s="93">
        <f t="shared" ca="1" si="94"/>
        <v>56.141607932875665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26816</v>
      </c>
      <c r="O198" s="155">
        <f ca="1">IF(L198&gt;0,N198*100/L198,0)</f>
        <v>68.758974358974356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4">
        <v>23816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/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27000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4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4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97.0020920502092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97.0020920502092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97.0020920502092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IFERROR(__xludf.DUMMYFUNCTION("IMPORTRANGE(""https://docs.google.com/spreadsheets/d/1MeEWN-I1oV_STSDYn1IFDPWt_1FKiwhDph83XaGc0o0/edit?usp=sharing"",""งบพรบ!DD48"")"),23900)</f>
        <v>23900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97.0020920502092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0</v>
      </c>
      <c r="K276" s="407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54530</v>
      </c>
      <c r="N277" s="155">
        <f t="shared" ca="1" si="125"/>
        <v>23355</v>
      </c>
      <c r="O277" s="155">
        <f t="shared" ref="O277:O285" ca="1" si="126">IF(L277&gt;0,N277*100/L277,0)</f>
        <v>20.906812281801091</v>
      </c>
      <c r="P277" s="155">
        <f t="shared" ref="P277:P285" ca="1" si="127">IF(M277&gt;0,N277*100/M277,0)</f>
        <v>42.829635063267929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111710</v>
      </c>
      <c r="M279" s="93">
        <f t="shared" ca="1" si="128"/>
        <v>54530</v>
      </c>
      <c r="N279" s="93">
        <f t="shared" ca="1" si="128"/>
        <v>23355</v>
      </c>
      <c r="O279" s="93">
        <f t="shared" ca="1" si="126"/>
        <v>20.906812281801091</v>
      </c>
      <c r="P279" s="93">
        <f t="shared" ca="1" si="127"/>
        <v>42.829635063267929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54530</v>
      </c>
      <c r="N280" s="497">
        <f t="shared" ca="1" si="129"/>
        <v>23355</v>
      </c>
      <c r="O280" s="497">
        <f t="shared" ca="1" si="126"/>
        <v>20.906812281801091</v>
      </c>
      <c r="P280" s="497">
        <f t="shared" ca="1" si="127"/>
        <v>42.829635063267929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IFERROR(__xludf.DUMMYFUNCTION("IMPORTRANGE(""https://docs.google.com/spreadsheets/d/1MeEWN-I1oV_STSDYn1IFDPWt_1FKiwhDph83XaGc0o0/edit?usp=sharing"",""งบพรบ!DN48"")"),54530)</f>
        <v>54530</v>
      </c>
      <c r="N282" s="93">
        <f ca="1">IFERROR(__xludf.DUMMYFUNCTION("IMPORTRANGE(""https://docs.google.com/spreadsheets/d/1MeEWN-I1oV_STSDYn1IFDPWt_1FKiwhDph83XaGc0o0/edit?usp=sharing"",""งบพรบ!DP48"")"),23355)</f>
        <v>23355</v>
      </c>
      <c r="O282" s="93">
        <f t="shared" ca="1" si="126"/>
        <v>20.906812281801091</v>
      </c>
      <c r="P282" s="93">
        <f t="shared" ca="1" si="127"/>
        <v>42.829635063267929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IFERROR(__xludf.DUMMYFUNCTION("IMPORTRANGE(""https://docs.google.com/spreadsheets/d/1QqKyyYR6Q21VydFLVH3TRQUabQu_ym0Zz7PgGX0-kHA/edit?usp=sharing"",""แผน!EB48"")"),30)</f>
        <v>30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2294</v>
      </c>
      <c r="K327" s="445">
        <f ca="1">IF(I327&gt;0,J327*100/I327,0)</f>
        <v>49.869565217391305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87500</v>
      </c>
      <c r="N328" s="155">
        <f t="shared" ca="1" si="149"/>
        <v>34000</v>
      </c>
      <c r="O328" s="155">
        <f t="shared" ref="O328:O336" ca="1" si="150">IF(L328&gt;0,N328*100/L328,0)</f>
        <v>19.428571428571427</v>
      </c>
      <c r="P328" s="155">
        <f t="shared" ref="P328:P336" ca="1" si="151">IF(M328&gt;0,N328*100/M328,0)</f>
        <v>38.857142857142854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175000</v>
      </c>
      <c r="M330" s="93">
        <f t="shared" ca="1" si="152"/>
        <v>87500</v>
      </c>
      <c r="N330" s="93">
        <f t="shared" ca="1" si="152"/>
        <v>34000</v>
      </c>
      <c r="O330" s="93">
        <f t="shared" ca="1" si="150"/>
        <v>19.428571428571427</v>
      </c>
      <c r="P330" s="93">
        <f t="shared" ca="1" si="151"/>
        <v>38.857142857142854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87500</v>
      </c>
      <c r="N331" s="497">
        <f t="shared" ca="1" si="153"/>
        <v>34000</v>
      </c>
      <c r="O331" s="497">
        <f t="shared" ca="1" si="150"/>
        <v>19.428571428571427</v>
      </c>
      <c r="P331" s="497">
        <f t="shared" ca="1" si="151"/>
        <v>38.857142857142854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IFERROR(__xludf.DUMMYFUNCTION("IMPORTRANGE(""https://docs.google.com/spreadsheets/d/1MeEWN-I1oV_STSDYn1IFDPWt_1FKiwhDph83XaGc0o0/edit?usp=sharing"",""งบพรบ!ER48"")"),87500)</f>
        <v>87500</v>
      </c>
      <c r="N333" s="93">
        <f ca="1">IFERROR(__xludf.DUMMYFUNCTION("IMPORTRANGE(""https://docs.google.com/spreadsheets/d/1MeEWN-I1oV_STSDYn1IFDPWt_1FKiwhDph83XaGc0o0/edit?usp=sharing"",""งบพรบ!ET48"")"),34000)</f>
        <v>34000</v>
      </c>
      <c r="O333" s="93">
        <f t="shared" ca="1" si="150"/>
        <v>19.428571428571427</v>
      </c>
      <c r="P333" s="93">
        <f t="shared" ca="1" si="151"/>
        <v>38.857142857142854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IFERROR(__xludf.DUMMYFUNCTION("IMPORTRANGE(""https://docs.google.com/spreadsheets/d/1kVcqe37tkHyjCSG3S0O1AXqVkqjo8mSIZil3BcpIysc/edit?usp=sharing"",""ศูนย์!D48"")"),2017)</f>
        <v>2017</v>
      </c>
      <c r="K338" s="497">
        <f ca="1">IF(I338&gt;0,J338*100/I338,0)</f>
        <v>43.847826086956523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IFERROR(__xludf.DUMMYFUNCTION("IMPORTRANGE(""https://docs.google.com/spreadsheets/d/1kVcqe37tkHyjCSG3S0O1AXqVkqjo8mSIZil3BcpIysc/edit?usp=sharing"",""ศูนย์!E48"")"),3)</f>
        <v>3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IFERROR(__xludf.DUMMYFUNCTION("IMPORTRANGE(""https://docs.google.com/spreadsheets/d/1kVcqe37tkHyjCSG3S0O1AXqVkqjo8mSIZil3BcpIysc/edit?usp=sharing"",""ศูนย์!F48"")"),277)</f>
        <v>277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755550</v>
      </c>
      <c r="N345" s="155">
        <f t="shared" ca="1" si="155"/>
        <v>446246.98</v>
      </c>
      <c r="O345" s="155">
        <f t="shared" ref="O345:O353" ca="1" si="156">IF(L345&gt;0,N345*100/L345,0)</f>
        <v>39.805807004085416</v>
      </c>
      <c r="P345" s="155">
        <f t="shared" ref="P345:P353" ca="1" si="157">IF(M345&gt;0,N345*100/M345,0)</f>
        <v>59.062534577460127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1121060</v>
      </c>
      <c r="M347" s="93">
        <f t="shared" ca="1" si="158"/>
        <v>755550</v>
      </c>
      <c r="N347" s="93">
        <f t="shared" ca="1" si="158"/>
        <v>446246.98</v>
      </c>
      <c r="O347" s="93">
        <f t="shared" ca="1" si="156"/>
        <v>39.805807004085416</v>
      </c>
      <c r="P347" s="93">
        <f t="shared" ca="1" si="157"/>
        <v>59.062534577460127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695550</v>
      </c>
      <c r="N348" s="497">
        <f t="shared" ca="1" si="159"/>
        <v>386246.98</v>
      </c>
      <c r="O348" s="497">
        <f t="shared" ca="1" si="156"/>
        <v>36.401992347275367</v>
      </c>
      <c r="P348" s="497">
        <f t="shared" ca="1" si="157"/>
        <v>55.531159514053627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IFERROR(__xludf.DUMMYFUNCTION("IMPORTRANGE(""https://docs.google.com/spreadsheets/d/1MeEWN-I1oV_STSDYn1IFDPWt_1FKiwhDph83XaGc0o0/edit?usp=sharing"",""งบพรบ!FB48"")"),695550)</f>
        <v>695550</v>
      </c>
      <c r="N350" s="93">
        <f ca="1">IFERROR(__xludf.DUMMYFUNCTION("IMPORTRANGE(""https://docs.google.com/spreadsheets/d/1MeEWN-I1oV_STSDYn1IFDPWt_1FKiwhDph83XaGc0o0/edit?usp=sharing"",""งบพรบ!FD48"")"),386246.98)</f>
        <v>386246.98</v>
      </c>
      <c r="O350" s="93">
        <f t="shared" ca="1" si="156"/>
        <v>36.401992347275367</v>
      </c>
      <c r="P350" s="93">
        <f t="shared" ca="1" si="157"/>
        <v>55.531159514053627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24</v>
      </c>
      <c r="K355" s="465">
        <f ca="1">IF(I355&gt;0,J355*100/I355,0)</f>
        <v>5.4545454545454541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IFERROR(__xludf.DUMMYFUNCTION("IMPORTRANGE(""https://docs.google.com/spreadsheets/d/1XWAQStnk-4SwqDmLtmXYiTMKHgktTP8We1SCoS47DrQ/edit?usp=sharing"",""จัดที่ดิน!W48"")"),88)</f>
        <v>88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IFERROR(__xludf.DUMMYFUNCTION("IMPORTRANGE(""https://docs.google.com/spreadsheets/d/1XWAQStnk-4SwqDmLtmXYiTMKHgktTP8We1SCoS47DrQ/edit?usp=sharing"",""จัดที่ดิน!X48"")"),748.959999999999)</f>
        <v>748.95999999999901</v>
      </c>
      <c r="K359" s="497">
        <f t="shared" ca="1" si="161"/>
        <v>16.643555555555533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IFERROR(__xludf.DUMMYFUNCTION("IMPORTRANGE(""https://docs.google.com/spreadsheets/d/1XWAQStnk-4SwqDmLtmXYiTMKHgktTP8We1SCoS47DrQ/edit?usp=sharing"",""จัดที่ดิน!Y48"")"),24)</f>
        <v>24</v>
      </c>
      <c r="K360" s="497">
        <f t="shared" ca="1" si="161"/>
        <v>5.4545454545454541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IFERROR(__xludf.DUMMYFUNCTION("IMPORTRANGE(""https://docs.google.com/spreadsheets/d/1XWAQStnk-4SwqDmLtmXYiTMKHgktTP8We1SCoS47DrQ/edit?usp=sharing"",""จัดที่ดิน!Z48"")"),337.9)</f>
        <v>337.9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IFERROR(__xludf.DUMMYFUNCTION("IMPORTRANGE(""https://docs.google.com/spreadsheets/d/1XWAQStnk-4SwqDmLtmXYiTMKHgktTP8We1SCoS47DrQ/edit?usp=sharing"",""จัดที่ดิน!AA48"")"),24)</f>
        <v>24</v>
      </c>
      <c r="K362" s="497">
        <f t="shared" ca="1" si="161"/>
        <v>5.4545454545454541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IFERROR(__xludf.DUMMYFUNCTION("IMPORTRANGE(""https://docs.google.com/spreadsheets/d/1XWAQStnk-4SwqDmLtmXYiTMKHgktTP8We1SCoS47DrQ/edit?usp=sharing"",""จัดที่ดิน!AB48"")"),337.9)</f>
        <v>337.9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33</v>
      </c>
      <c r="K364" s="479">
        <f t="shared" ca="1" si="161"/>
        <v>5.8928571428571432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6</v>
      </c>
      <c r="K365" s="491">
        <f t="shared" ca="1" si="161"/>
        <v>15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IFERROR(__xludf.DUMMYFUNCTION("IMPORTRANGE(""https://docs.google.com/spreadsheets/d/1XWAQStnk-4SwqDmLtmXYiTMKHgktTP8We1SCoS47DrQ/edit?usp=sharing"",""จัดที่ดิน!E48"")"),70)</f>
        <v>70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IFERROR(__xludf.DUMMYFUNCTION("IMPORTRANGE(""https://docs.google.com/spreadsheets/d/1XWAQStnk-4SwqDmLtmXYiTMKHgktTP8We1SCoS47DrQ/edit?usp=sharing"",""จัดที่ดิน!F48"")"),523.42)</f>
        <v>523.41999999999996</v>
      </c>
      <c r="K369" s="497">
        <f t="shared" ca="1" si="163"/>
        <v>104.68399999999998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IFERROR(__xludf.DUMMYFUNCTION("IMPORTRANGE(""https://docs.google.com/spreadsheets/d/1XWAQStnk-4SwqDmLtmXYiTMKHgktTP8We1SCoS47DrQ/edit?usp=sharing"",""จัดที่ดิน!G48"")"),6)</f>
        <v>6</v>
      </c>
      <c r="K370" s="497">
        <f t="shared" ca="1" si="163"/>
        <v>15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IFERROR(__xludf.DUMMYFUNCTION("IMPORTRANGE(""https://docs.google.com/spreadsheets/d/1XWAQStnk-4SwqDmLtmXYiTMKHgktTP8We1SCoS47DrQ/edit?usp=sharing"",""จัดที่ดิน!H48"")"),112.36)</f>
        <v>112.36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IFERROR(__xludf.DUMMYFUNCTION("IMPORTRANGE(""https://docs.google.com/spreadsheets/d/1XWAQStnk-4SwqDmLtmXYiTMKHgktTP8We1SCoS47DrQ/edit?usp=sharing"",""จัดที่ดิน!I48"")"),6)</f>
        <v>6</v>
      </c>
      <c r="K372" s="497">
        <f t="shared" ca="1" si="163"/>
        <v>15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IFERROR(__xludf.DUMMYFUNCTION("IMPORTRANGE(""https://docs.google.com/spreadsheets/d/1XWAQStnk-4SwqDmLtmXYiTMKHgktTP8We1SCoS47DrQ/edit?usp=sharing"",""จัดที่ดิน!J48"")"),112.36)</f>
        <v>112.36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27</v>
      </c>
      <c r="K374" s="491">
        <f t="shared" ca="1" si="163"/>
        <v>5.1923076923076925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IFERROR(__xludf.DUMMYFUNCTION("IMPORTRANGE(""https://docs.google.com/spreadsheets/d/1XWAQStnk-4SwqDmLtmXYiTMKHgktTP8We1SCoS47DrQ/edit?usp=sharing"",""จัดที่ดิน!AH48"")"),18)</f>
        <v>18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IFERROR(__xludf.DUMMYFUNCTION("IMPORTRANGE(""https://docs.google.com/spreadsheets/d/1XWAQStnk-4SwqDmLtmXYiTMKHgktTP8We1SCoS47DrQ/edit?usp=sharing"",""จัดที่ดิน!AI48"")"),225.54)</f>
        <v>225.54</v>
      </c>
      <c r="K378" s="497">
        <f t="shared" ca="1" si="164"/>
        <v>5.6384999999999996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IFERROR(__xludf.DUMMYFUNCTION("IMPORTRANGE(""https://docs.google.com/spreadsheets/d/1XWAQStnk-4SwqDmLtmXYiTMKHgktTP8We1SCoS47DrQ/edit?usp=sharing"",""จัดที่ดิน!AJ48"")"),27)</f>
        <v>27</v>
      </c>
      <c r="K379" s="497">
        <f t="shared" ca="1" si="164"/>
        <v>5.1923076923076925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IFERROR(__xludf.DUMMYFUNCTION("IMPORTRANGE(""https://docs.google.com/spreadsheets/d/1XWAQStnk-4SwqDmLtmXYiTMKHgktTP8We1SCoS47DrQ/edit?usp=sharing"",""จัดที่ดิน!AK48"")"),361.6)</f>
        <v>361.6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IFERROR(__xludf.DUMMYFUNCTION("IMPORTRANGE(""https://docs.google.com/spreadsheets/d/1XWAQStnk-4SwqDmLtmXYiTMKHgktTP8We1SCoS47DrQ/edit?usp=sharing"",""จัดที่ดิน!AL48"")"),27)</f>
        <v>27</v>
      </c>
      <c r="K381" s="497">
        <f t="shared" ca="1" si="164"/>
        <v>5.1923076923076925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IFERROR(__xludf.DUMMYFUNCTION("IMPORTRANGE(""https://docs.google.com/spreadsheets/d/1XWAQStnk-4SwqDmLtmXYiTMKHgktTP8We1SCoS47DrQ/edit?usp=sharing"",""จัดที่ดิน!AM48"")"),361.6)</f>
        <v>361.6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IFERROR(__xludf.DUMMYFUNCTION("IMPORTRANGE(""https://docs.google.com/spreadsheets/d/1QqKyyYR6Q21VydFLVH3TRQUabQu_ym0Zz7PgGX0-kHA/edit?usp=sharing"",""แผน!EW48"")"),30)</f>
        <v>30</v>
      </c>
      <c r="J385" s="500">
        <f ca="1">IFERROR(__xludf.DUMMYFUNCTION("IMPORTRANGE(""https://docs.google.com/spreadsheets/d/1XWAQStnk-4SwqDmLtmXYiTMKHgktTP8We1SCoS47DrQ/edit?usp=sharing"",""จัดที่ดิน!AP48"")"),0)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2876576</v>
      </c>
      <c r="M414" s="548">
        <f t="shared" si="181"/>
        <v>0</v>
      </c>
      <c r="N414" s="548">
        <f t="shared" si="181"/>
        <v>622693.14</v>
      </c>
      <c r="O414" s="548">
        <f ca="1">IF(L414&gt;0,N414*100/L414,0)</f>
        <v>21.647025491417573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10531</v>
      </c>
      <c r="O419" s="155">
        <f t="shared" ref="O419:O424" ca="1" si="185">IF(L419&gt;0,N419*100/L419,0)</f>
        <v>13.387998982964659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10531</v>
      </c>
      <c r="O421" s="93">
        <f t="shared" ca="1" si="185"/>
        <v>13.387998982964659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10531</v>
      </c>
      <c r="O422" s="497">
        <f t="shared" ca="1" si="185"/>
        <v>13.387998982964659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v>0</v>
      </c>
      <c r="N424" s="93">
        <f>N425+N426+N427+N428</f>
        <v>10531</v>
      </c>
      <c r="O424" s="93">
        <f t="shared" ca="1" si="185"/>
        <v>13.387998982964659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10531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IFERROR(__xludf.DUMMYFUNCTION("IMPORTRANGE(""https://docs.google.com/spreadsheets/d/1QqKyyYR6Q21VydFLVH3TRQUabQu_ym0Zz7PgGX0-kHA/edit?usp=sharing"",""แผน!FC48"")"),20)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IFERROR(__xludf.DUMMYFUNCTION("IMPORTRANGE(""https://docs.google.com/spreadsheets/d/1QqKyyYR6Q21VydFLVH3TRQUabQu_ym0Zz7PgGX0-kHA/edit?usp=sharing"",""แผน!FD48"")"),0)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IFERROR(__xludf.DUMMYFUNCTION("IMPORTRANGE(""https://docs.google.com/spreadsheets/d/1QqKyyYR6Q21VydFLVH3TRQUabQu_ym0Zz7PgGX0-kHA/edit?usp=sharing"",""แผน!FF48"")"),20)</f>
        <v>20</v>
      </c>
      <c r="J439" s="578"/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50</v>
      </c>
      <c r="J442" s="584">
        <f t="shared" si="195"/>
        <v>21</v>
      </c>
      <c r="K442" s="585">
        <f t="shared" ca="1" si="194"/>
        <v>42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150</v>
      </c>
      <c r="J443" s="564">
        <f t="shared" si="196"/>
        <v>63</v>
      </c>
      <c r="K443" s="565">
        <f t="shared" ca="1" si="194"/>
        <v>42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si="197"/>
        <v>0</v>
      </c>
      <c r="N444" s="195">
        <f t="shared" si="197"/>
        <v>160800</v>
      </c>
      <c r="O444" s="195">
        <f t="shared" ref="O444:O449" ca="1" si="198">IF(L444&gt;0,N444*100/L444,0)</f>
        <v>34.902953293423572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460706</v>
      </c>
      <c r="M446" s="93">
        <f t="shared" si="200"/>
        <v>0</v>
      </c>
      <c r="N446" s="93">
        <f t="shared" si="200"/>
        <v>160800</v>
      </c>
      <c r="O446" s="93">
        <f t="shared" ca="1" si="198"/>
        <v>34.902953293423572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si="201"/>
        <v>0</v>
      </c>
      <c r="N447" s="497">
        <f t="shared" si="201"/>
        <v>160800</v>
      </c>
      <c r="O447" s="497">
        <f t="shared" ca="1" si="198"/>
        <v>34.902953293423572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v>0</v>
      </c>
      <c r="N449" s="93">
        <f>N450+N451+N452+N453</f>
        <v>160800</v>
      </c>
      <c r="O449" s="93">
        <f t="shared" ca="1" si="198"/>
        <v>34.902953293423572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44100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72160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5540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21</v>
      </c>
      <c r="K460" s="497">
        <f ca="1">IF(I460&gt;0,J460*100/I460,0)</f>
        <v>42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63</v>
      </c>
      <c r="K462" s="497">
        <f ca="1">IF(I462&gt;0,J462*100/I462,0)</f>
        <v>42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63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21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IFERROR(__xludf.DUMMYFUNCTION("IMPORTRANGE(""https://docs.google.com/spreadsheets/d/1QqKyyYR6Q21VydFLVH3TRQUabQu_ym0Zz7PgGX0-kHA/edit?usp=sharing"",""แผน!FX48"")"),131)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IFERROR(__xludf.DUMMYFUNCTION("IMPORTRANGE(""https://docs.google.com/spreadsheets/d/1QqKyyYR6Q21VydFLVH3TRQUabQu_ym0Zz7PgGX0-kHA/edit?usp=sharing"",""แผน!FW48"")"),1300)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si="206"/>
        <v>0</v>
      </c>
      <c r="N467" s="195">
        <f t="shared" si="206"/>
        <v>122404</v>
      </c>
      <c r="O467" s="195">
        <f t="shared" ref="O467:O472" ca="1" si="207">IF(L467&gt;0,N467*100/L467,0)</f>
        <v>10.442174085145298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1172208</v>
      </c>
      <c r="M469" s="93">
        <f t="shared" si="209"/>
        <v>0</v>
      </c>
      <c r="N469" s="93">
        <f t="shared" si="209"/>
        <v>122404</v>
      </c>
      <c r="O469" s="93">
        <f t="shared" ca="1" si="207"/>
        <v>10.442174085145298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si="210"/>
        <v>0</v>
      </c>
      <c r="N470" s="497">
        <f t="shared" si="210"/>
        <v>122404</v>
      </c>
      <c r="O470" s="497">
        <f t="shared" ca="1" si="207"/>
        <v>10.442174085145298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v>0</v>
      </c>
      <c r="N472" s="93">
        <f>N473+N474+N475+N476</f>
        <v>122404</v>
      </c>
      <c r="O472" s="93">
        <f t="shared" ca="1" si="207"/>
        <v>10.442174085145298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78484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39000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4920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IFERROR(__xludf.DUMMYFUNCTION("IMPORTRANGE(""https://docs.google.com/spreadsheets/d/1QqKyyYR6Q21VydFLVH3TRQUabQu_ym0Zz7PgGX0-kHA/edit?usp=sharing"",""แผน!GU48"")"),0)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41140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514752</v>
      </c>
      <c r="M544" s="155">
        <f t="shared" si="236"/>
        <v>0</v>
      </c>
      <c r="N544" s="155">
        <f t="shared" si="236"/>
        <v>84624</v>
      </c>
      <c r="O544" s="155">
        <f t="shared" ref="O544:O549" ca="1" si="237">IF(L544&gt;0,N544*100/L544,0)</f>
        <v>16.439761283103319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514752</v>
      </c>
      <c r="M546" s="93">
        <f t="shared" si="240"/>
        <v>0</v>
      </c>
      <c r="N546" s="93">
        <f t="shared" si="240"/>
        <v>84624</v>
      </c>
      <c r="O546" s="93">
        <f t="shared" ca="1" si="237"/>
        <v>16.439761283103319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514752</v>
      </c>
      <c r="M547" s="497">
        <f t="shared" si="241"/>
        <v>0</v>
      </c>
      <c r="N547" s="497">
        <f t="shared" si="241"/>
        <v>84624</v>
      </c>
      <c r="O547" s="497">
        <f t="shared" ca="1" si="237"/>
        <v>16.439761283103319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IFERROR(__xludf.DUMMYFUNCTION("IMPORTRANGE(""https://docs.google.com/spreadsheets/d/1QqKyyYR6Q21VydFLVH3TRQUabQu_ym0Zz7PgGX0-kHA/edit?usp=sharing"",""แผน!HB48"")"),514752)</f>
        <v>514752</v>
      </c>
      <c r="M549" s="93">
        <v>0</v>
      </c>
      <c r="N549" s="93">
        <f>N550+N551+N552+N553+N554</f>
        <v>84624</v>
      </c>
      <c r="O549" s="93">
        <f t="shared" ca="1" si="237"/>
        <v>16.439761283103319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45624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41140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3158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1173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11282.62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IFERROR(__xludf.DUMMYFUNCTION("IMPORTRANGE(""https://docs.google.com/spreadsheets/d/1QqKyyYR6Q21VydFLVH3TRQUabQu_ym0Zz7PgGX0-kHA/edit?usp=sharing"",""แผน!HL48"")"),44)</f>
        <v>44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IFERROR(__xludf.DUMMYFUNCTION("IMPORTRANGE(""https://docs.google.com/spreadsheets/d/1QqKyyYR6Q21VydFLVH3TRQUabQu_ym0Zz7PgGX0-kHA/edit?usp=sharing"",""แผน!HK48"")"),3)</f>
        <v>3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130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si="263"/>
        <v>0</v>
      </c>
      <c r="N629" s="195">
        <f t="shared" si="263"/>
        <v>158954.84</v>
      </c>
      <c r="O629" s="195">
        <f t="shared" ref="O629:O634" ca="1" si="264">IF(L629&gt;0,N629*100/L629,0)</f>
        <v>43.169615165258953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368210</v>
      </c>
      <c r="M631" s="93">
        <f t="shared" si="266"/>
        <v>0</v>
      </c>
      <c r="N631" s="93">
        <f t="shared" si="266"/>
        <v>158954.84</v>
      </c>
      <c r="O631" s="93">
        <f t="shared" ca="1" si="264"/>
        <v>43.169615165258953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si="267"/>
        <v>0</v>
      </c>
      <c r="N632" s="497">
        <f t="shared" si="267"/>
        <v>158954.84</v>
      </c>
      <c r="O632" s="497">
        <f t="shared" ca="1" si="264"/>
        <v>43.169615165258953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v>0</v>
      </c>
      <c r="N634" s="93">
        <f>N635+N636+N637+N638</f>
        <v>158954.84</v>
      </c>
      <c r="O634" s="93">
        <f t="shared" ca="1" si="264"/>
        <v>43.169615165258953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38133.339999999997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120821.5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IFERROR(__xludf.DUMMYFUNCTION("IMPORTRANGE(""https://docs.google.com/spreadsheets/d/1XWAQStnk-4SwqDmLtmXYiTMKHgktTP8We1SCoS47DrQ/edit?usp=sharing"",""จัดที่ดิน!AS48"")"),114)</f>
        <v>114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IFERROR(__xludf.DUMMYFUNCTION("IMPORTRANGE(""https://docs.google.com/spreadsheets/d/1XWAQStnk-4SwqDmLtmXYiTMKHgktTP8We1SCoS47DrQ/edit?usp=sharing"",""จัดที่ดิน!AT48"")"),83.55)</f>
        <v>83.55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IFERROR(__xludf.DUMMYFUNCTION("IMPORTRANGE(""https://docs.google.com/spreadsheets/d/1XWAQStnk-4SwqDmLtmXYiTMKHgktTP8We1SCoS47DrQ/edit?usp=sharing"",""จัดที่ดิน!AU48"")"),64)</f>
        <v>64</v>
      </c>
      <c r="K647" s="163">
        <f t="shared" ca="1" si="271"/>
        <v>49.230769230769234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IFERROR(__xludf.DUMMYFUNCTION("IMPORTRANGE(""https://docs.google.com/spreadsheets/d/1XWAQStnk-4SwqDmLtmXYiTMKHgktTP8We1SCoS47DrQ/edit?usp=sharing"",""จัดที่ดิน!AV48"")"),48.89)</f>
        <v>48.89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IFERROR(__xludf.DUMMYFUNCTION("IMPORTRANGE(""https://docs.google.com/spreadsheets/d/1XWAQStnk-4SwqDmLtmXYiTMKHgktTP8We1SCoS47DrQ/edit?usp=sharing"",""จัดที่ดิน!AW48"")"),54)</f>
        <v>54</v>
      </c>
      <c r="K649" s="163">
        <f t="shared" ca="1" si="271"/>
        <v>41.53846153846154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IFERROR(__xludf.DUMMYFUNCTION("IMPORTRANGE(""https://docs.google.com/spreadsheets/d/1XWAQStnk-4SwqDmLtmXYiTMKHgktTP8We1SCoS47DrQ/edit?usp=sharing"",""จัดที่ดิน!AX48"")"),31.17)</f>
        <v>31.17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IFERROR(__xludf.DUMMYFUNCTION("IMPORTRANGE(""https://docs.google.com/spreadsheets/d/1XWAQStnk-4SwqDmLtmXYiTMKHgktTP8We1SCoS47DrQ/edit?usp=sharing"",""จัดที่ดิน!AZ48"")"),0)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si="273"/>
        <v>0</v>
      </c>
      <c r="N655" s="195">
        <f t="shared" si="273"/>
        <v>2000</v>
      </c>
      <c r="O655" s="195">
        <f t="shared" ref="O655:O660" ca="1" si="274">IF(L655&gt;0,N655*100/L655,0)</f>
        <v>16.129032258064516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12400</v>
      </c>
      <c r="M657" s="93">
        <f t="shared" si="276"/>
        <v>0</v>
      </c>
      <c r="N657" s="93">
        <f t="shared" si="276"/>
        <v>2000</v>
      </c>
      <c r="O657" s="93">
        <f t="shared" ca="1" si="274"/>
        <v>16.129032258064516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si="277"/>
        <v>0</v>
      </c>
      <c r="N658" s="497">
        <f t="shared" si="277"/>
        <v>2000</v>
      </c>
      <c r="O658" s="497">
        <f t="shared" ca="1" si="274"/>
        <v>16.129032258064516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v>0</v>
      </c>
      <c r="N660" s="93">
        <f>N661+N662+N663+N664</f>
        <v>2000</v>
      </c>
      <c r="O660" s="93">
        <f t="shared" ca="1" si="274"/>
        <v>16.129032258064516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2000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IFERROR(__xludf.DUMMYFUNCTION("IMPORTRANGE(""https://docs.google.com/spreadsheets/d/1QqKyyYR6Q21VydFLVH3TRQUabQu_ym0Zz7PgGX0-kHA/edit?usp=sharing"",""แผน!IA48"")"),100)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3080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IFERROR(__xludf.DUMMYFUNCTION("IMPORTRANGE(""https://docs.google.com/spreadsheets/d/1QqKyyYR6Q21VydFLVH3TRQUabQu_ym0Zz7PgGX0-kHA/edit?usp=sharing"",""แผน!IE48"")"),0)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IFERROR(__xludf.DUMMYFUNCTION("IMPORTRANGE(""https://docs.google.com/spreadsheets/d/1QqKyyYR6Q21VydFLVH3TRQUabQu_ym0Zz7PgGX0-kHA/edit?usp=sharing"",""แผน!IH48"")"),0)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IFERROR(__xludf.DUMMYFUNCTION("IMPORTRANGE(""https://docs.google.com/spreadsheets/d/1QqKyyYR6Q21VydFLVH3TRQUabQu_ym0Zz7PgGX0-kHA/edit?usp=sharing"",""แผน!IJ48"")"),0)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IFERROR(__xludf.DUMMYFUNCTION("IMPORTRANGE(""https://docs.google.com/spreadsheets/d/1QqKyyYR6Q21VydFLVH3TRQUabQu_ym0Zz7PgGX0-kHA/edit?usp=sharing"",""แผน!IK48"")"),0)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IFERROR(__xludf.DUMMYFUNCTION("IMPORTRANGE(""https://docs.google.com/spreadsheets/d/1QqKyyYR6Q21VydFLVH3TRQUabQu_ym0Zz7PgGX0-kHA/edit?usp=sharing"",""แผน!IP48"")"),10)</f>
        <v>10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4000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266560</v>
      </c>
      <c r="M786" s="195">
        <f t="shared" si="319"/>
        <v>0</v>
      </c>
      <c r="N786" s="195">
        <f t="shared" si="319"/>
        <v>83379.3</v>
      </c>
      <c r="O786" s="195">
        <f t="shared" ref="O786:O791" ca="1" si="320">IF(L786&gt;0,N786*100/L786,0)</f>
        <v>31.279749399759904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266560</v>
      </c>
      <c r="M788" s="93">
        <f t="shared" si="322"/>
        <v>0</v>
      </c>
      <c r="N788" s="93">
        <f t="shared" si="322"/>
        <v>83379.3</v>
      </c>
      <c r="O788" s="93">
        <f t="shared" ca="1" si="320"/>
        <v>31.279749399759904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266560</v>
      </c>
      <c r="M789" s="497">
        <f t="shared" si="323"/>
        <v>0</v>
      </c>
      <c r="N789" s="497">
        <f t="shared" si="323"/>
        <v>83379.3</v>
      </c>
      <c r="O789" s="497">
        <f t="shared" ca="1" si="320"/>
        <v>31.279749399759904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v>0</v>
      </c>
      <c r="N791" s="93">
        <f>N792+N793+N794+N795</f>
        <v>83379.3</v>
      </c>
      <c r="O791" s="93">
        <f t="shared" ca="1" si="320"/>
        <v>31.279749399759904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33000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v>50379.3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IFERROR(__xludf.DUMMYFUNCTION("IMPORTRANGE(""https://docs.google.com/spreadsheets/d/1MaWodYyGHDf7siQLGxnXhG4mBNTNIuy296niS2xXulU/edit?usp=sharing"",""RTK!H48"")"),0)</f>
        <v>0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IFERROR(__xludf.DUMMYFUNCTION("IMPORTRANGE(""https://docs.google.com/spreadsheets/d/1MaWodYyGHDf7siQLGxnXhG4mBNTNIuy296niS2xXulU/edit?usp=sharing"",""RTK!G48"")"),4000)</f>
        <v>4000</v>
      </c>
      <c r="J801" s="816">
        <f ca="1">IFERROR(__xludf.DUMMYFUNCTION("IMPORTRANGE(""https://docs.google.com/spreadsheets/d/1MaWodYyGHDf7siQLGxnXhG4mBNTNIuy296niS2xXulU/edit?usp=sharing"",""RTK!I48"")"),0)</f>
        <v>0</v>
      </c>
      <c r="K801" s="817">
        <f ca="1">IF(I801&gt;0,J801*100/I801,0)</f>
        <v>0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883"/>
      <c r="B802" s="884"/>
      <c r="C802" s="884"/>
      <c r="D802" s="884"/>
      <c r="E802" s="818"/>
      <c r="F802" s="818" t="s">
        <v>321</v>
      </c>
      <c r="G802" s="333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IFERROR(__xludf.DUMMYFUNCTION("IMPORTRANGE(""https://docs.google.com/spreadsheets/d/1MaWodYyGHDf7siQLGxnXhG4mBNTNIuy296niS2xXulU/edit?usp=sharing"",""RTK!L48"")"),0)</f>
        <v>0</v>
      </c>
      <c r="K802" s="806"/>
      <c r="L802" s="321"/>
      <c r="M802" s="321"/>
      <c r="N802" s="321"/>
      <c r="O802" s="321"/>
      <c r="P802" s="321"/>
      <c r="Q802" s="885"/>
      <c r="R802" s="885"/>
      <c r="S802" s="885"/>
      <c r="T802" s="885"/>
      <c r="U802" s="885"/>
      <c r="V802" s="885"/>
      <c r="W802" s="885"/>
      <c r="X802" s="885"/>
      <c r="Y802" s="885"/>
      <c r="Z802" s="885"/>
    </row>
    <row r="803" spans="1:26" ht="18.75">
      <c r="A803" s="883"/>
      <c r="B803" s="884"/>
      <c r="C803" s="884"/>
      <c r="D803" s="884"/>
      <c r="E803" s="818"/>
      <c r="F803" s="818"/>
      <c r="G803" s="333"/>
      <c r="H803" s="814" t="s">
        <v>46</v>
      </c>
      <c r="I803" s="815">
        <f ca="1">IFERROR(__xludf.DUMMYFUNCTION("IMPORTRANGE(""https://docs.google.com/spreadsheets/d/1MaWodYyGHDf7siQLGxnXhG4mBNTNIuy296niS2xXulU/edit?usp=sharing"",""RTK!K48"")"),0)</f>
        <v>0</v>
      </c>
      <c r="J803" s="816">
        <f ca="1">IFERROR(__xludf.DUMMYFUNCTION("IMPORTRANGE(""https://docs.google.com/spreadsheets/d/1MaWodYyGHDf7siQLGxnXhG4mBNTNIuy296niS2xXulU/edit?usp=sharing"",""RTK!M48"")"),0)</f>
        <v>0</v>
      </c>
      <c r="K803" s="817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885"/>
      <c r="R803" s="885"/>
      <c r="S803" s="885"/>
      <c r="T803" s="885"/>
      <c r="U803" s="885"/>
      <c r="V803" s="885"/>
      <c r="W803" s="885"/>
      <c r="X803" s="885"/>
      <c r="Y803" s="885"/>
      <c r="Z803" s="885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IFERROR(__xludf.DUMMYFUNCTION("IMPORTRANGE(""https://docs.google.com/spreadsheets/d/19vJNZY_5yjcGF2XGBMNZRCAIB0Kwfpjp8YEOfu-bneM/edit?usp=sharing"",""งานกองทุน!F48"")"),1551681.66)</f>
        <v>1551681.66</v>
      </c>
      <c r="K821" s="497">
        <f t="shared" ref="K821:K828" ca="1" si="336">IF(I821&gt;0,J821*100/I821,0)</f>
        <v>53.236572982857183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IFERROR(__xludf.DUMMYFUNCTION("IMPORTRANGE(""https://docs.google.com/spreadsheets/d/19vJNZY_5yjcGF2XGBMNZRCAIB0Kwfpjp8YEOfu-bneM/edit?usp=sharing"",""งานกองทุน!E48"")"),97)</f>
        <v>97</v>
      </c>
      <c r="K822" s="497">
        <f t="shared" ca="1" si="336"/>
        <v>54.49438202247191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IFERROR(__xludf.DUMMYFUNCTION("IMPORTRANGE(""https://docs.google.com/spreadsheets/d/19vJNZY_5yjcGF2XGBMNZRCAIB0Kwfpjp8YEOfu-bneM/edit?usp=sharing"",""งานกองทุน!K48"")"),150748.23)</f>
        <v>150748.23000000001</v>
      </c>
      <c r="K823" s="497">
        <f t="shared" ca="1" si="336"/>
        <v>6.4967181383734038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IFERROR(__xludf.DUMMYFUNCTION("IMPORTRANGE(""https://docs.google.com/spreadsheets/d/19vJNZY_5yjcGF2XGBMNZRCAIB0Kwfpjp8YEOfu-bneM/edit?usp=sharing"",""งานกองทุน!J48"")"),31)</f>
        <v>31</v>
      </c>
      <c r="K824" s="497">
        <f t="shared" ca="1" si="336"/>
        <v>27.43362831858407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IFERROR(__xludf.DUMMYFUNCTION("IMPORTRANGE(""https://docs.google.com/spreadsheets/d/19vJNZY_5yjcGF2XGBMNZRCAIB0Kwfpjp8YEOfu-bneM/edit?usp=sharing"",""งานกองทุน!R48"")"),168)</f>
        <v>168</v>
      </c>
      <c r="J828" s="500">
        <f ca="1">IFERROR(__xludf.DUMMYFUNCTION("IMPORTRANGE(""https://docs.google.com/spreadsheets/d/19vJNZY_5yjcGF2XGBMNZRCAIB0Kwfpjp8YEOfu-bneM/edit?usp=sharing"",""งานกองทุน!T48"")"),0)</f>
        <v>0</v>
      </c>
      <c r="K828" s="501">
        <f t="shared" ca="1" si="336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731A9-913B-414C-A860-80CAA4F415D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355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2210980</v>
      </c>
      <c r="N8" s="22">
        <f t="shared" ca="1" si="0"/>
        <v>1092818.49</v>
      </c>
      <c r="O8" s="22">
        <f t="shared" ref="O8:O16" ca="1" si="1">IF(L8&gt;0,N8*100/L8,0)</f>
        <v>24.049247527445562</v>
      </c>
      <c r="P8" s="22">
        <f t="shared" ref="P8:P16" ca="1" si="2">IF(M8&gt;0,N8*100/M8,0)</f>
        <v>49.426882649322927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2210980</v>
      </c>
      <c r="N10" s="30">
        <f t="shared" ca="1" si="3"/>
        <v>1092818.49</v>
      </c>
      <c r="O10" s="30">
        <f t="shared" ca="1" si="1"/>
        <v>24.049247527445562</v>
      </c>
      <c r="P10" s="30">
        <f t="shared" ca="1" si="2"/>
        <v>49.426882649322927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2115580</v>
      </c>
      <c r="N11" s="497">
        <f t="shared" ca="1" si="4"/>
        <v>997418.49</v>
      </c>
      <c r="O11" s="497">
        <f t="shared" ca="1" si="1"/>
        <v>22.420519002689783</v>
      </c>
      <c r="P11" s="497">
        <f t="shared" ca="1" si="2"/>
        <v>47.146337647359118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4448686</v>
      </c>
      <c r="M13" s="93">
        <f t="shared" ca="1" si="5"/>
        <v>2115580</v>
      </c>
      <c r="N13" s="93">
        <f t="shared" ca="1" si="5"/>
        <v>997418.49</v>
      </c>
      <c r="O13" s="93">
        <f t="shared" ca="1" si="1"/>
        <v>22.420519002689783</v>
      </c>
      <c r="P13" s="93">
        <f t="shared" ca="1" si="2"/>
        <v>47.146337647359118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2210980</v>
      </c>
      <c r="N18" s="22">
        <f t="shared" ca="1" si="8"/>
        <v>1034418.49</v>
      </c>
      <c r="O18" s="22">
        <f t="shared" ref="O18:O26" ca="1" si="9">IF(L18&gt;0,N18*100/L18,0)</f>
        <v>33.851818799139323</v>
      </c>
      <c r="P18" s="22">
        <f t="shared" ref="P18:P26" ca="1" si="10">IF(M18&gt;0,N18*100/M18,0)</f>
        <v>46.785519995658035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2210980</v>
      </c>
      <c r="N20" s="30">
        <f t="shared" ca="1" si="11"/>
        <v>1034418.49</v>
      </c>
      <c r="O20" s="30">
        <f t="shared" ca="1" si="9"/>
        <v>33.851818799139323</v>
      </c>
      <c r="P20" s="30">
        <f t="shared" ca="1" si="10"/>
        <v>46.785519995658035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2115580</v>
      </c>
      <c r="N21" s="497">
        <f t="shared" ca="1" si="12"/>
        <v>939018.49</v>
      </c>
      <c r="O21" s="497">
        <f t="shared" ca="1" si="9"/>
        <v>31.720114852254397</v>
      </c>
      <c r="P21" s="497">
        <f t="shared" ca="1" si="10"/>
        <v>44.385865341892057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2960325</v>
      </c>
      <c r="M23" s="93">
        <f t="shared" ca="1" si="13"/>
        <v>2115580</v>
      </c>
      <c r="N23" s="93">
        <f t="shared" ca="1" si="13"/>
        <v>939018.49</v>
      </c>
      <c r="O23" s="93">
        <f t="shared" ca="1" si="9"/>
        <v>31.720114852254397</v>
      </c>
      <c r="P23" s="93">
        <f t="shared" ca="1" si="10"/>
        <v>44.385865341892057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si="16"/>
        <v>0</v>
      </c>
      <c r="N28" s="22">
        <f t="shared" si="16"/>
        <v>58400</v>
      </c>
      <c r="O28" s="22">
        <f t="shared" ref="O28:O37" ca="1" si="17">IF(L28&gt;0,N28*100/L28,0)</f>
        <v>3.9237792444171808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si="19"/>
        <v>0</v>
      </c>
      <c r="N30" s="30">
        <f t="shared" si="19"/>
        <v>58400</v>
      </c>
      <c r="O30" s="30">
        <f t="shared" ca="1" si="17"/>
        <v>3.9237792444171808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si="20"/>
        <v>0</v>
      </c>
      <c r="N31" s="497">
        <f t="shared" si="20"/>
        <v>58400</v>
      </c>
      <c r="O31" s="497">
        <f t="shared" ca="1" si="17"/>
        <v>3.9237792444171808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1488361</v>
      </c>
      <c r="M33" s="93">
        <f t="shared" si="21"/>
        <v>0</v>
      </c>
      <c r="N33" s="93">
        <f t="shared" si="21"/>
        <v>58400</v>
      </c>
      <c r="O33" s="93">
        <f t="shared" ca="1" si="17"/>
        <v>3.9237792444171808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3055725</v>
      </c>
      <c r="M37" s="843">
        <f t="shared" ca="1" si="24"/>
        <v>2210980</v>
      </c>
      <c r="N37" s="843">
        <f t="shared" ca="1" si="24"/>
        <v>1034418.49</v>
      </c>
      <c r="O37" s="843">
        <f t="shared" ca="1" si="17"/>
        <v>33.851818799139323</v>
      </c>
      <c r="P37" s="843">
        <f t="shared" ca="1" si="18"/>
        <v>46.785519995658035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149045.07999999999</v>
      </c>
      <c r="O41" s="85">
        <f t="shared" ref="O41:O49" ca="1" si="26">IF(L41&gt;0,N41*100/L41,0)</f>
        <v>33.850801726095838</v>
      </c>
      <c r="P41" s="85">
        <f t="shared" ref="P41:P49" ca="1" si="27">IF(M41&gt;0,N41*100/M41,0)</f>
        <v>33.850801726095838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149045.07999999999</v>
      </c>
      <c r="O43" s="92">
        <f t="shared" ca="1" si="26"/>
        <v>33.850801726095838</v>
      </c>
      <c r="P43" s="92">
        <f t="shared" ca="1" si="27"/>
        <v>33.850801726095838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149045.07999999999</v>
      </c>
      <c r="O44" s="497">
        <f t="shared" ca="1" si="26"/>
        <v>33.850801726095838</v>
      </c>
      <c r="P44" s="497">
        <f t="shared" ca="1" si="27"/>
        <v>33.850801726095838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IFERROR(__xludf.DUMMYFUNCTION("IMPORTRANGE(""https://docs.google.com/spreadsheets/d/1MeEWN-I1oV_STSDYn1IFDPWt_1FKiwhDph83XaGc0o0/edit?usp=sharing"",""งบพรบ!T49"")"),149045.08)</f>
        <v>149045.07999999999</v>
      </c>
      <c r="O46" s="93">
        <f t="shared" ca="1" si="26"/>
        <v>33.850801726095838</v>
      </c>
      <c r="P46" s="93">
        <f t="shared" ca="1" si="27"/>
        <v>33.850801726095838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496425</v>
      </c>
      <c r="N53" s="116">
        <f t="shared" ca="1" si="31"/>
        <v>222648.41</v>
      </c>
      <c r="O53" s="116">
        <f t="shared" ref="O53:O61" ca="1" si="32">IF(L53&gt;0,N53*100/L53,0)</f>
        <v>33.637771566701922</v>
      </c>
      <c r="P53" s="116">
        <f t="shared" ref="P53:P61" ca="1" si="33">IF(M53&gt;0,N53*100/M53,0)</f>
        <v>44.850362088935888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496425</v>
      </c>
      <c r="N55" s="123">
        <f t="shared" ca="1" si="34"/>
        <v>222648.41</v>
      </c>
      <c r="O55" s="123">
        <f t="shared" ca="1" si="32"/>
        <v>33.637771566701922</v>
      </c>
      <c r="P55" s="123">
        <f t="shared" ca="1" si="33"/>
        <v>44.850362088935888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496425</v>
      </c>
      <c r="N56" s="497">
        <f t="shared" ca="1" si="35"/>
        <v>222648.41</v>
      </c>
      <c r="O56" s="497">
        <f t="shared" ca="1" si="32"/>
        <v>33.637771566701922</v>
      </c>
      <c r="P56" s="497">
        <f t="shared" ca="1" si="33"/>
        <v>44.850362088935888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IFERROR(__xludf.DUMMYFUNCTION("IMPORTRANGE(""https://docs.google.com/spreadsheets/d/1MeEWN-I1oV_STSDYn1IFDPWt_1FKiwhDph83XaGc0o0/edit?usp=sharing"",""งบพรบ!AB49"")"),496425)</f>
        <v>496425</v>
      </c>
      <c r="N58" s="93">
        <f ca="1">IFERROR(__xludf.DUMMYFUNCTION("IMPORTRANGE(""https://docs.google.com/spreadsheets/d/1MeEWN-I1oV_STSDYn1IFDPWt_1FKiwhDph83XaGc0o0/edit?usp=sharing"",""งบพรบ!AD49"")"),222648.41)</f>
        <v>222648.41</v>
      </c>
      <c r="O58" s="93">
        <f t="shared" ca="1" si="32"/>
        <v>33.637771566701922</v>
      </c>
      <c r="P58" s="93">
        <f t="shared" ca="1" si="33"/>
        <v>44.850362088935888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454300</v>
      </c>
      <c r="N66" s="155">
        <f t="shared" ca="1" si="39"/>
        <v>153365</v>
      </c>
      <c r="O66" s="155">
        <f t="shared" ref="O66:O74" ca="1" si="40">IF(L66&gt;0,N66*100/L66,0)</f>
        <v>19.624440179142674</v>
      </c>
      <c r="P66" s="155">
        <f t="shared" ref="P66:P74" ca="1" si="41">IF(M66&gt;0,N66*100/M66,0)</f>
        <v>33.758529605987235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781500</v>
      </c>
      <c r="M68" s="93">
        <f t="shared" ca="1" si="42"/>
        <v>454300</v>
      </c>
      <c r="N68" s="93">
        <f t="shared" ca="1" si="42"/>
        <v>153365</v>
      </c>
      <c r="O68" s="93">
        <f t="shared" ca="1" si="40"/>
        <v>19.624440179142674</v>
      </c>
      <c r="P68" s="93">
        <f t="shared" ca="1" si="41"/>
        <v>33.758529605987235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454300</v>
      </c>
      <c r="N69" s="497">
        <f t="shared" ca="1" si="43"/>
        <v>153365</v>
      </c>
      <c r="O69" s="497">
        <f t="shared" ca="1" si="40"/>
        <v>19.624440179142674</v>
      </c>
      <c r="P69" s="497">
        <f t="shared" ca="1" si="41"/>
        <v>33.758529605987235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IFERROR(__xludf.DUMMYFUNCTION("IMPORTRANGE(""https://docs.google.com/spreadsheets/d/1MeEWN-I1oV_STSDYn1IFDPWt_1FKiwhDph83XaGc0o0/edit?usp=sharing"",""งบพรบ!AL49"")"),454300)</f>
        <v>454300</v>
      </c>
      <c r="N71" s="93">
        <f ca="1">IFERROR(__xludf.DUMMYFUNCTION("IMPORTRANGE(""https://docs.google.com/spreadsheets/d/1MeEWN-I1oV_STSDYn1IFDPWt_1FKiwhDph83XaGc0o0/edit?usp=sharing"",""งบพรบ!AN49"")"),153365)</f>
        <v>153365</v>
      </c>
      <c r="O71" s="93">
        <f t="shared" ca="1" si="40"/>
        <v>19.624440179142674</v>
      </c>
      <c r="P71" s="93">
        <f t="shared" ca="1" si="41"/>
        <v>33.758529605987235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44340</v>
      </c>
      <c r="N88" s="155">
        <f t="shared" ca="1" si="49"/>
        <v>44180</v>
      </c>
      <c r="O88" s="155">
        <f t="shared" ref="O88:O96" ca="1" si="50">IF(L88&gt;0,N88*100/L88,0)</f>
        <v>78.836545324768025</v>
      </c>
      <c r="P88" s="155">
        <f t="shared" ref="P88:P96" ca="1" si="51">IF(M88&gt;0,N88*100/M88,0)</f>
        <v>99.639152007216964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56040</v>
      </c>
      <c r="M90" s="93">
        <f t="shared" ca="1" si="52"/>
        <v>44340</v>
      </c>
      <c r="N90" s="93">
        <f t="shared" ca="1" si="52"/>
        <v>44180</v>
      </c>
      <c r="O90" s="93">
        <f t="shared" ca="1" si="50"/>
        <v>78.836545324768025</v>
      </c>
      <c r="P90" s="93">
        <f t="shared" ca="1" si="51"/>
        <v>99.639152007216964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44340</v>
      </c>
      <c r="N91" s="497">
        <f t="shared" ca="1" si="53"/>
        <v>44180</v>
      </c>
      <c r="O91" s="497">
        <f t="shared" ca="1" si="50"/>
        <v>78.836545324768025</v>
      </c>
      <c r="P91" s="497">
        <f t="shared" ca="1" si="51"/>
        <v>99.639152007216964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IFERROR(__xludf.DUMMYFUNCTION("IMPORTRANGE(""https://docs.google.com/spreadsheets/d/1MeEWN-I1oV_STSDYn1IFDPWt_1FKiwhDph83XaGc0o0/edit?usp=sharing"",""งบพรบ!AV49"")"),44340)</f>
        <v>44340</v>
      </c>
      <c r="N93" s="93">
        <f ca="1">IFERROR(__xludf.DUMMYFUNCTION("IMPORTRANGE(""https://docs.google.com/spreadsheets/d/1MeEWN-I1oV_STSDYn1IFDPWt_1FKiwhDph83XaGc0o0/edit?usp=sharing"",""งบพรบ!AX49"")"),44180)</f>
        <v>44180</v>
      </c>
      <c r="O93" s="93">
        <f t="shared" ca="1" si="50"/>
        <v>78.836545324768025</v>
      </c>
      <c r="P93" s="93">
        <f t="shared" ca="1" si="51"/>
        <v>99.639152007216964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54500</v>
      </c>
      <c r="N181" s="155">
        <f t="shared" ca="1" si="92"/>
        <v>28820</v>
      </c>
      <c r="O181" s="155">
        <f t="shared" ref="O181:O189" ca="1" si="93">IF(L181&gt;0,N181*100/L181,0)</f>
        <v>39.157608695652172</v>
      </c>
      <c r="P181" s="155">
        <f t="shared" ref="P181:P189" ca="1" si="94">IF(M181&gt;0,N181*100/M181,0)</f>
        <v>52.88073394495413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73600</v>
      </c>
      <c r="M183" s="93">
        <f t="shared" ca="1" si="95"/>
        <v>54500</v>
      </c>
      <c r="N183" s="93">
        <f t="shared" ca="1" si="95"/>
        <v>28820</v>
      </c>
      <c r="O183" s="93">
        <f t="shared" ca="1" si="93"/>
        <v>39.157608695652172</v>
      </c>
      <c r="P183" s="93">
        <f t="shared" ca="1" si="94"/>
        <v>52.88073394495413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54500</v>
      </c>
      <c r="N184" s="497">
        <f t="shared" ca="1" si="96"/>
        <v>28820</v>
      </c>
      <c r="O184" s="497">
        <f t="shared" ca="1" si="93"/>
        <v>39.157608695652172</v>
      </c>
      <c r="P184" s="497">
        <f t="shared" ca="1" si="94"/>
        <v>52.88073394495413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IFERROR(__xludf.DUMMYFUNCTION("IMPORTRANGE(""https://docs.google.com/spreadsheets/d/1MeEWN-I1oV_STSDYn1IFDPWt_1FKiwhDph83XaGc0o0/edit?usp=sharing"",""งบพรบ!CT49"")"),54500)</f>
        <v>54500</v>
      </c>
      <c r="N186" s="93">
        <f ca="1">IFERROR(__xludf.DUMMYFUNCTION("IMPORTRANGE(""https://docs.google.com/spreadsheets/d/1MeEWN-I1oV_STSDYn1IFDPWt_1FKiwhDph83XaGc0o0/edit?usp=sharing"",""งบพรบ!CV49"")"),28820)</f>
        <v>28820</v>
      </c>
      <c r="O186" s="93">
        <f t="shared" ca="1" si="93"/>
        <v>39.157608695652172</v>
      </c>
      <c r="P186" s="93">
        <f t="shared" ca="1" si="94"/>
        <v>52.88073394495413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2820</v>
      </c>
      <c r="O191" s="155">
        <f ca="1">IF(L191&gt;0,N191*100/L191,0)</f>
        <v>47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4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4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24280</v>
      </c>
      <c r="O261" s="155">
        <f t="shared" ref="O261:O269" ca="1" si="117">IF(L261&gt;0,N261*100/L261,0)</f>
        <v>84.305555555555557</v>
      </c>
      <c r="P261" s="155">
        <f t="shared" ref="P261:P269" ca="1" si="118">IF(M261&gt;0,N261*100/M261,0)</f>
        <v>94.108527131782949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24280</v>
      </c>
      <c r="O263" s="93">
        <f t="shared" ca="1" si="117"/>
        <v>84.305555555555557</v>
      </c>
      <c r="P263" s="93">
        <f t="shared" ca="1" si="118"/>
        <v>94.108527131782949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24280</v>
      </c>
      <c r="O264" s="497">
        <f t="shared" ca="1" si="117"/>
        <v>84.305555555555557</v>
      </c>
      <c r="P264" s="497">
        <f t="shared" ca="1" si="118"/>
        <v>94.108527131782949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IFERROR(__xludf.DUMMYFUNCTION("IMPORTRANGE(""https://docs.google.com/spreadsheets/d/1MeEWN-I1oV_STSDYn1IFDPWt_1FKiwhDph83XaGc0o0/edit?usp=sharing"",""งบพรบ!DD49"")"),25800)</f>
        <v>25800</v>
      </c>
      <c r="N266" s="93">
        <f ca="1">IFERROR(__xludf.DUMMYFUNCTION("IMPORTRANGE(""https://docs.google.com/spreadsheets/d/1MeEWN-I1oV_STSDYn1IFDPWt_1FKiwhDph83XaGc0o0/edit?usp=sharing"",""งบพรบ!DF49"")"),24280)</f>
        <v>24280</v>
      </c>
      <c r="O266" s="93">
        <f t="shared" ca="1" si="117"/>
        <v>84.305555555555557</v>
      </c>
      <c r="P266" s="93">
        <f t="shared" ca="1" si="118"/>
        <v>94.108527131782949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IFERROR(__xludf.DUMMYFUNCTION("IMPORTRANGE(""https://docs.google.com/spreadsheets/d/1QqKyyYR6Q21VydFLVH3TRQUabQu_ym0Zz7PgGX0-kHA/edit?usp=sharing"",""แผน!EB49"")"),0)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344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996</v>
      </c>
      <c r="K327" s="445">
        <f ca="1">IF(I327&gt;0,J327*100/I327,0)</f>
        <v>52.421052631578945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83000</v>
      </c>
      <c r="N328" s="155">
        <f t="shared" ca="1" si="149"/>
        <v>43360</v>
      </c>
      <c r="O328" s="155">
        <f t="shared" ref="O328:O336" ca="1" si="150">IF(L328&gt;0,N328*100/L328,0)</f>
        <v>26.120481927710845</v>
      </c>
      <c r="P328" s="155">
        <f t="shared" ref="P328:P336" ca="1" si="151">IF(M328&gt;0,N328*100/M328,0)</f>
        <v>52.24096385542169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166000</v>
      </c>
      <c r="M330" s="93">
        <f t="shared" ca="1" si="152"/>
        <v>83000</v>
      </c>
      <c r="N330" s="93">
        <f t="shared" ca="1" si="152"/>
        <v>43360</v>
      </c>
      <c r="O330" s="93">
        <f t="shared" ca="1" si="150"/>
        <v>26.120481927710845</v>
      </c>
      <c r="P330" s="93">
        <f t="shared" ca="1" si="151"/>
        <v>52.24096385542169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83000</v>
      </c>
      <c r="N331" s="497">
        <f t="shared" ca="1" si="153"/>
        <v>43360</v>
      </c>
      <c r="O331" s="497">
        <f t="shared" ca="1" si="150"/>
        <v>26.120481927710845</v>
      </c>
      <c r="P331" s="497">
        <f t="shared" ca="1" si="151"/>
        <v>52.24096385542169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IFERROR(__xludf.DUMMYFUNCTION("IMPORTRANGE(""https://docs.google.com/spreadsheets/d/1MeEWN-I1oV_STSDYn1IFDPWt_1FKiwhDph83XaGc0o0/edit?usp=sharing"",""งบพรบ!ER49"")"),83000)</f>
        <v>83000</v>
      </c>
      <c r="N333" s="93">
        <f ca="1">IFERROR(__xludf.DUMMYFUNCTION("IMPORTRANGE(""https://docs.google.com/spreadsheets/d/1MeEWN-I1oV_STSDYn1IFDPWt_1FKiwhDph83XaGc0o0/edit?usp=sharing"",""งบพรบ!ET49"")"),43360)</f>
        <v>43360</v>
      </c>
      <c r="O333" s="93">
        <f t="shared" ca="1" si="150"/>
        <v>26.120481927710845</v>
      </c>
      <c r="P333" s="93">
        <f t="shared" ca="1" si="151"/>
        <v>52.24096385542169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IFERROR(__xludf.DUMMYFUNCTION("IMPORTRANGE(""https://docs.google.com/spreadsheets/d/1kVcqe37tkHyjCSG3S0O1AXqVkqjo8mSIZil3BcpIysc/edit?usp=sharing"",""ศูนย์!D49"")"),752)</f>
        <v>752</v>
      </c>
      <c r="K338" s="497">
        <f ca="1">IF(I338&gt;0,J338*100/I338,0)</f>
        <v>39.578947368421055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IFERROR(__xludf.DUMMYFUNCTION("IMPORTRANGE(""https://docs.google.com/spreadsheets/d/1kVcqe37tkHyjCSG3S0O1AXqVkqjo8mSIZil3BcpIysc/edit?usp=sharing"",""ศูนย์!E49"")"),2)</f>
        <v>2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IFERROR(__xludf.DUMMYFUNCTION("IMPORTRANGE(""https://docs.google.com/spreadsheets/d/1kVcqe37tkHyjCSG3S0O1AXqVkqjo8mSIZil3BcpIysc/edit?usp=sharing"",""ศูนย์!F49"")"),193)</f>
        <v>193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IFERROR(__xludf.DUMMYFUNCTION("IMPORTRANGE(""https://docs.google.com/spreadsheets/d/1kVcqe37tkHyjCSG3S0O1AXqVkqjo8mSIZil3BcpIysc/edit?usp=sharing"",""ศูนย์!H49"")"),51)</f>
        <v>51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590260</v>
      </c>
      <c r="N345" s="155">
        <f t="shared" ca="1" si="155"/>
        <v>346665</v>
      </c>
      <c r="O345" s="155">
        <f t="shared" ref="O345:O353" ca="1" si="156">IF(L345&gt;0,N345*100/L345,0)</f>
        <v>41.99302266422783</v>
      </c>
      <c r="P345" s="155">
        <f t="shared" ref="P345:P353" ca="1" si="157">IF(M345&gt;0,N345*100/M345,0)</f>
        <v>58.730898248229593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825530</v>
      </c>
      <c r="M347" s="93">
        <f t="shared" ca="1" si="158"/>
        <v>590260</v>
      </c>
      <c r="N347" s="93">
        <f t="shared" ca="1" si="158"/>
        <v>346665</v>
      </c>
      <c r="O347" s="93">
        <f t="shared" ca="1" si="156"/>
        <v>41.99302266422783</v>
      </c>
      <c r="P347" s="93">
        <f t="shared" ca="1" si="157"/>
        <v>58.730898248229593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494860</v>
      </c>
      <c r="N348" s="497">
        <f t="shared" ca="1" si="159"/>
        <v>251265</v>
      </c>
      <c r="O348" s="497">
        <f t="shared" ca="1" si="156"/>
        <v>34.413734540424308</v>
      </c>
      <c r="P348" s="497">
        <f t="shared" ca="1" si="157"/>
        <v>50.774966657236391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IFERROR(__xludf.DUMMYFUNCTION("IMPORTRANGE(""https://docs.google.com/spreadsheets/d/1MeEWN-I1oV_STSDYn1IFDPWt_1FKiwhDph83XaGc0o0/edit?usp=sharing"",""งบพรบ!FB49"")"),494860)</f>
        <v>494860</v>
      </c>
      <c r="N350" s="93">
        <f ca="1">IFERROR(__xludf.DUMMYFUNCTION("IMPORTRANGE(""https://docs.google.com/spreadsheets/d/1MeEWN-I1oV_STSDYn1IFDPWt_1FKiwhDph83XaGc0o0/edit?usp=sharing"",""งบพรบ!FD49"")"),251265)</f>
        <v>251265</v>
      </c>
      <c r="O350" s="93">
        <f t="shared" ca="1" si="156"/>
        <v>34.413734540424308</v>
      </c>
      <c r="P350" s="93">
        <f t="shared" ca="1" si="157"/>
        <v>50.774966657236391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IFERROR(__xludf.DUMMYFUNCTION("IMPORTRANGE(""https://docs.google.com/spreadsheets/d/1XWAQStnk-4SwqDmLtmXYiTMKHgktTP8We1SCoS47DrQ/edit?usp=sharing"",""จัดที่ดิน!W49"")"),116)</f>
        <v>116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IFERROR(__xludf.DUMMYFUNCTION("IMPORTRANGE(""https://docs.google.com/spreadsheets/d/1XWAQStnk-4SwqDmLtmXYiTMKHgktTP8We1SCoS47DrQ/edit?usp=sharing"",""จัดที่ดิน!X49"")"),643.41)</f>
        <v>643.41</v>
      </c>
      <c r="K359" s="497">
        <f t="shared" ca="1" si="161"/>
        <v>32.170499999999997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IFERROR(__xludf.DUMMYFUNCTION("IMPORTRANGE(""https://docs.google.com/spreadsheets/d/1XWAQStnk-4SwqDmLtmXYiTMKHgktTP8We1SCoS47DrQ/edit?usp=sharing"",""จัดที่ดิน!Y49"")"),48)</f>
        <v>48</v>
      </c>
      <c r="K360" s="497">
        <f t="shared" ca="1" si="161"/>
        <v>22.857142857142858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IFERROR(__xludf.DUMMYFUNCTION("IMPORTRANGE(""https://docs.google.com/spreadsheets/d/1XWAQStnk-4SwqDmLtmXYiTMKHgktTP8We1SCoS47DrQ/edit?usp=sharing"",""จัดที่ดิน!Z49"")"),317.25)</f>
        <v>317.25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410</v>
      </c>
      <c r="J364" s="478">
        <f t="shared" ca="1" si="162"/>
        <v>245</v>
      </c>
      <c r="K364" s="479">
        <f t="shared" ca="1" si="161"/>
        <v>59.756097560975611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IFERROR(__xludf.DUMMYFUNCTION("IMPORTRANGE(""https://docs.google.com/spreadsheets/d/1XWAQStnk-4SwqDmLtmXYiTMKHgktTP8We1SCoS47DrQ/edit?usp=sharing"",""จัดที่ดิน!E49"")"),68)</f>
        <v>68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IFERROR(__xludf.DUMMYFUNCTION("IMPORTRANGE(""https://docs.google.com/spreadsheets/d/1XWAQStnk-4SwqDmLtmXYiTMKHgktTP8We1SCoS47DrQ/edit?usp=sharing"",""จัดที่ดิน!F49"")"),326.16)</f>
        <v>326.16000000000003</v>
      </c>
      <c r="K369" s="497">
        <f t="shared" ca="1" si="163"/>
        <v>65.232000000000014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IFERROR(__xludf.DUMMYFUNCTION("IMPORTRANGE(""https://docs.google.com/spreadsheets/d/1QqKyyYR6Q21VydFLVH3TRQUabQu_ym0Zz7PgGX0-kHA/edit?usp=sharing"",""แผน!EU49"")"),350)</f>
        <v>350</v>
      </c>
      <c r="J374" s="490">
        <f ca="1">J381</f>
        <v>245</v>
      </c>
      <c r="K374" s="491">
        <f t="shared" ca="1" si="163"/>
        <v>70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IFERROR(__xludf.DUMMYFUNCTION("IMPORTRANGE(""https://docs.google.com/spreadsheets/d/1XWAQStnk-4SwqDmLtmXYiTMKHgktTP8We1SCoS47DrQ/edit?usp=sharing"",""จัดที่ดิน!AH49"")"),48)</f>
        <v>48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IFERROR(__xludf.DUMMYFUNCTION("IMPORTRANGE(""https://docs.google.com/spreadsheets/d/1XWAQStnk-4SwqDmLtmXYiTMKHgktTP8We1SCoS47DrQ/edit?usp=sharing"",""จัดที่ดิน!AI49"")"),317.25)</f>
        <v>317.25</v>
      </c>
      <c r="K378" s="497">
        <f t="shared" ca="1" si="164"/>
        <v>21.15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IFERROR(__xludf.DUMMYFUNCTION("IMPORTRANGE(""https://docs.google.com/spreadsheets/d/1QqKyyYR6Q21VydFLVH3TRQUabQu_ym0Zz7PgGX0-kHA/edit?usp=sharing"",""แผน!EU49"")"),350)</f>
        <v>350</v>
      </c>
      <c r="J379" s="270">
        <f ca="1">IFERROR(__xludf.DUMMYFUNCTION("IMPORTRANGE(""https://docs.google.com/spreadsheets/d/1XWAQStnk-4SwqDmLtmXYiTMKHgktTP8We1SCoS47DrQ/edit?usp=sharing"",""จัดที่ดิน!AJ49"")"),293)</f>
        <v>293</v>
      </c>
      <c r="K379" s="497">
        <f t="shared" ca="1" si="164"/>
        <v>83.714285714285708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IFERROR(__xludf.DUMMYFUNCTION("IMPORTRANGE(""https://docs.google.com/spreadsheets/d/1XWAQStnk-4SwqDmLtmXYiTMKHgktTP8We1SCoS47DrQ/edit?usp=sharing"",""จัดที่ดิน!AK49"")"),2395.78)</f>
        <v>2395.7800000000002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IFERROR(__xludf.DUMMYFUNCTION("IMPORTRANGE(""https://docs.google.com/spreadsheets/d/1QqKyyYR6Q21VydFLVH3TRQUabQu_ym0Zz7PgGX0-kHA/edit?usp=sharing"",""แผน!EU49"")"),350)</f>
        <v>350</v>
      </c>
      <c r="J381" s="270">
        <f ca="1">IFERROR(__xludf.DUMMYFUNCTION("IMPORTRANGE(""https://docs.google.com/spreadsheets/d/1XWAQStnk-4SwqDmLtmXYiTMKHgktTP8We1SCoS47DrQ/edit?usp=sharing"",""จัดที่ดิน!AL49"")"),245)</f>
        <v>245</v>
      </c>
      <c r="K381" s="497">
        <f t="shared" ca="1" si="164"/>
        <v>70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IFERROR(__xludf.DUMMYFUNCTION("IMPORTRANGE(""https://docs.google.com/spreadsheets/d/1XWAQStnk-4SwqDmLtmXYiTMKHgktTP8We1SCoS47DrQ/edit?usp=sharing"",""จัดที่ดิน!AM49"")"),2078.53)</f>
        <v>2078.5300000000002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IFERROR(__xludf.DUMMYFUNCTION("IMPORTRANGE(""https://docs.google.com/spreadsheets/d/1QqKyyYR6Q21VydFLVH3TRQUabQu_ym0Zz7PgGX0-kHA/edit?usp=sharing"",""แผน!EW49"")"),30)</f>
        <v>30</v>
      </c>
      <c r="J385" s="500">
        <f ca="1">IFERROR(__xludf.DUMMYFUNCTION("IMPORTRANGE(""https://docs.google.com/spreadsheets/d/1XWAQStnk-4SwqDmLtmXYiTMKHgktTP8We1SCoS47DrQ/edit?usp=sharing"",""จัดที่ดิน!AP49"")"),0)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1488361</v>
      </c>
      <c r="M414" s="548">
        <f t="shared" si="181"/>
        <v>0</v>
      </c>
      <c r="N414" s="548">
        <f t="shared" si="181"/>
        <v>58400</v>
      </c>
      <c r="O414" s="548">
        <f ca="1">IF(L414&gt;0,N414*100/L414,0)</f>
        <v>3.9237792444171808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si="184"/>
        <v>0</v>
      </c>
      <c r="N419" s="155">
        <f t="shared" si="184"/>
        <v>0</v>
      </c>
      <c r="O419" s="155">
        <f t="shared" ref="O419:O424" ca="1" si="185">IF(L419&gt;0,N419*100/L419,0)</f>
        <v>0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102860</v>
      </c>
      <c r="M421" s="93">
        <f t="shared" si="187"/>
        <v>0</v>
      </c>
      <c r="N421" s="93">
        <f t="shared" si="187"/>
        <v>0</v>
      </c>
      <c r="O421" s="93">
        <f t="shared" ca="1" si="185"/>
        <v>0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si="188"/>
        <v>0</v>
      </c>
      <c r="N422" s="497">
        <f t="shared" si="188"/>
        <v>0</v>
      </c>
      <c r="O422" s="497">
        <f t="shared" ca="1" si="185"/>
        <v>0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v>0</v>
      </c>
      <c r="N424" s="93">
        <f>N425+N426+N427+N428</f>
        <v>0</v>
      </c>
      <c r="O424" s="93">
        <f t="shared" ca="1" si="185"/>
        <v>0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IFERROR(__xludf.DUMMYFUNCTION("IMPORTRANGE(""https://docs.google.com/spreadsheets/d/1QqKyyYR6Q21VydFLVH3TRQUabQu_ym0Zz7PgGX0-kHA/edit?usp=sharing"",""แผน!FC49"")"),20)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IFERROR(__xludf.DUMMYFUNCTION("IMPORTRANGE(""https://docs.google.com/spreadsheets/d/1QqKyyYR6Q21VydFLVH3TRQUabQu_ym0Zz7PgGX0-kHA/edit?usp=sharing"",""แผน!FD49"")"),0)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IFERROR(__xludf.DUMMYFUNCTION("IMPORTRANGE(""https://docs.google.com/spreadsheets/d/1QqKyyYR6Q21VydFLVH3TRQUabQu_ym0Zz7PgGX0-kHA/edit?usp=sharing"",""แผน!FF49"")"),20)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30</v>
      </c>
      <c r="J442" s="584">
        <f t="shared" si="195"/>
        <v>15</v>
      </c>
      <c r="K442" s="585">
        <f t="shared" ca="1" si="194"/>
        <v>50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150</v>
      </c>
      <c r="J443" s="564">
        <f t="shared" si="196"/>
        <v>75</v>
      </c>
      <c r="K443" s="565">
        <f t="shared" ca="1" si="194"/>
        <v>50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211480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15</v>
      </c>
      <c r="K460" s="497">
        <f ca="1">IF(I460&gt;0,J460*100/I460,0)</f>
        <v>50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75</v>
      </c>
      <c r="K462" s="497">
        <f ca="1">IF(I462&gt;0,J462*100/I462,0)</f>
        <v>50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IFERROR(__xludf.DUMMYFUNCTION("IMPORTRANGE(""https://docs.google.com/spreadsheets/d/1QqKyyYR6Q21VydFLVH3TRQUabQu_ym0Zz7PgGX0-kHA/edit?usp=sharing"",""แผน!FX49"")"),51)</f>
        <v>51</v>
      </c>
      <c r="J465" s="584">
        <f>J485+J489+J492</f>
        <v>51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IFERROR(__xludf.DUMMYFUNCTION("IMPORTRANGE(""https://docs.google.com/spreadsheets/d/1QqKyyYR6Q21VydFLVH3TRQUabQu_ym0Zz7PgGX0-kHA/edit?usp=sharing"",""แผน!FW49"")"),500)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si="206"/>
        <v>0</v>
      </c>
      <c r="N467" s="195">
        <f t="shared" si="206"/>
        <v>0</v>
      </c>
      <c r="O467" s="195">
        <f t="shared" ref="O467:O472" ca="1" si="207">IF(L467&gt;0,N467*100/L467,0)</f>
        <v>0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414783</v>
      </c>
      <c r="M469" s="93">
        <f t="shared" si="209"/>
        <v>0</v>
      </c>
      <c r="N469" s="93">
        <f t="shared" si="209"/>
        <v>0</v>
      </c>
      <c r="O469" s="93">
        <f t="shared" ca="1" si="207"/>
        <v>0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si="210"/>
        <v>0</v>
      </c>
      <c r="N470" s="497">
        <f t="shared" si="210"/>
        <v>0</v>
      </c>
      <c r="O470" s="497">
        <f t="shared" ca="1" si="207"/>
        <v>0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v>0</v>
      </c>
      <c r="N472" s="93">
        <f>N473+N474+N475+N476</f>
        <v>0</v>
      </c>
      <c r="O472" s="93">
        <f t="shared" ca="1" si="207"/>
        <v>0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IFERROR(__xludf.DUMMYFUNCTION("IMPORTRANGE(""https://docs.google.com/spreadsheets/d/1QqKyyYR6Q21VydFLVH3TRQUabQu_ym0Zz7PgGX0-kHA/edit?usp=sharing"",""แผน!GU49"")"),0)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22152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si="236"/>
        <v>0</v>
      </c>
      <c r="N544" s="155">
        <f t="shared" si="236"/>
        <v>32400</v>
      </c>
      <c r="O544" s="155">
        <f t="shared" ref="O544:O549" ca="1" si="237">IF(L544&gt;0,N544*100/L544,0)</f>
        <v>8.1527277668319851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397413</v>
      </c>
      <c r="M546" s="93">
        <f t="shared" si="240"/>
        <v>0</v>
      </c>
      <c r="N546" s="93">
        <f t="shared" si="240"/>
        <v>32400</v>
      </c>
      <c r="O546" s="93">
        <f t="shared" ca="1" si="237"/>
        <v>8.1527277668319851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si="241"/>
        <v>0</v>
      </c>
      <c r="N547" s="497">
        <f t="shared" si="241"/>
        <v>32400</v>
      </c>
      <c r="O547" s="497">
        <f t="shared" ca="1" si="237"/>
        <v>8.1527277668319851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v>0</v>
      </c>
      <c r="N549" s="93">
        <f>N550+N551+N552+N553+N554</f>
        <v>32400</v>
      </c>
      <c r="O549" s="93">
        <f t="shared" ca="1" si="237"/>
        <v>8.1527277668319851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26000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6400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22152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1063.5999999999999</v>
      </c>
      <c r="J592" s="702">
        <f t="shared" si="253"/>
        <v>5</v>
      </c>
      <c r="K592" s="671">
        <f t="shared" ref="K592:K594" ca="1" si="254">IF(I592&gt;0,J592*100/I592,0)</f>
        <v>0.47010154193305759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5</v>
      </c>
      <c r="K593" s="411">
        <f t="shared" ca="1" si="254"/>
        <v>0.47010154193305759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5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5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IFERROR(__xludf.DUMMYFUNCTION("IMPORTRANGE(""https://docs.google.com/spreadsheets/d/1QqKyyYR6Q21VydFLVH3TRQUabQu_ym0Zz7PgGX0-kHA/edit?usp=sharing"",""แผน!HL49"")"),0)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IFERROR(__xludf.DUMMYFUNCTION("IMPORTRANGE(""https://docs.google.com/spreadsheets/d/1QqKyyYR6Q21VydFLVH3TRQUabQu_ym0Zz7PgGX0-kHA/edit?usp=sharing"",""แผน!HK49"")"),0)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90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si="263"/>
        <v>0</v>
      </c>
      <c r="N629" s="195">
        <f t="shared" si="263"/>
        <v>26000</v>
      </c>
      <c r="O629" s="195">
        <f t="shared" ref="O629:O634" ca="1" si="264">IF(L629&gt;0,N629*100/L629,0)</f>
        <v>7.4395181481322519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349485</v>
      </c>
      <c r="M631" s="93">
        <f t="shared" si="266"/>
        <v>0</v>
      </c>
      <c r="N631" s="93">
        <f t="shared" si="266"/>
        <v>26000</v>
      </c>
      <c r="O631" s="93">
        <f t="shared" ca="1" si="264"/>
        <v>7.4395181481322519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si="267"/>
        <v>0</v>
      </c>
      <c r="N632" s="497">
        <f t="shared" si="267"/>
        <v>26000</v>
      </c>
      <c r="O632" s="497">
        <f t="shared" ca="1" si="264"/>
        <v>7.4395181481322519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v>0</v>
      </c>
      <c r="N634" s="93">
        <f>N635+N636+N637+N638</f>
        <v>26000</v>
      </c>
      <c r="O634" s="93">
        <f t="shared" ca="1" si="264"/>
        <v>7.4395181481322519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26000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IFERROR(__xludf.DUMMYFUNCTION("IMPORTRANGE(""https://docs.google.com/spreadsheets/d/1XWAQStnk-4SwqDmLtmXYiTMKHgktTP8We1SCoS47DrQ/edit?usp=sharing"",""จัดที่ดิน!AU49"")"),4)</f>
        <v>4</v>
      </c>
      <c r="K647" s="163">
        <f t="shared" ca="1" si="271"/>
        <v>4.4444444444444446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IFERROR(__xludf.DUMMYFUNCTION("IMPORTRANGE(""https://docs.google.com/spreadsheets/d/1XWAQStnk-4SwqDmLtmXYiTMKHgktTP8We1SCoS47DrQ/edit?usp=sharing"",""จัดที่ดิน!AV49"")"),1.45)</f>
        <v>1.45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IFERROR(__xludf.DUMMYFUNCTION("IMPORTRANGE(""https://docs.google.com/spreadsheets/d/1XWAQStnk-4SwqDmLtmXYiTMKHgktTP8We1SCoS47DrQ/edit?usp=sharing"",""จัดที่ดิน!AZ49"")"),0)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9400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IFERROR(__xludf.DUMMYFUNCTION("IMPORTRANGE(""https://docs.google.com/spreadsheets/d/1QqKyyYR6Q21VydFLVH3TRQUabQu_ym0Zz7PgGX0-kHA/edit?usp=sharing"",""แผน!IA49"")"),50)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IFERROR(__xludf.DUMMYFUNCTION("IMPORTRANGE(""https://docs.google.com/spreadsheets/d/1QqKyyYR6Q21VydFLVH3TRQUabQu_ym0Zz7PgGX0-kHA/edit?usp=sharing"",""แผน!IB49"")"),0)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2940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IFERROR(__xludf.DUMMYFUNCTION("IMPORTRANGE(""https://docs.google.com/spreadsheets/d/1QqKyyYR6Q21VydFLVH3TRQUabQu_ym0Zz7PgGX0-kHA/edit?usp=sharing"",""แผน!IE49"")"),0)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IFERROR(__xludf.DUMMYFUNCTION("IMPORTRANGE(""https://docs.google.com/spreadsheets/d/1QqKyyYR6Q21VydFLVH3TRQUabQu_ym0Zz7PgGX0-kHA/edit?usp=sharing"",""แผน!IH49"")"),7)</f>
        <v>7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IFERROR(__xludf.DUMMYFUNCTION("IMPORTRANGE(""https://docs.google.com/spreadsheets/d/1QqKyyYR6Q21VydFLVH3TRQUabQu_ym0Zz7PgGX0-kHA/edit?usp=sharing"",""แผน!IJ49"")"),0)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IFERROR(__xludf.DUMMYFUNCTION("IMPORTRANGE(""https://docs.google.com/spreadsheets/d/1QqKyyYR6Q21VydFLVH3TRQUabQu_ym0Zz7PgGX0-kHA/edit?usp=sharing"",""แผน!IK49"")"),0)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IFERROR(__xludf.DUMMYFUNCTION("IMPORTRANGE(""https://docs.google.com/spreadsheets/d/1QqKyyYR6Q21VydFLVH3TRQUabQu_ym0Zz7PgGX0-kHA/edit?usp=sharing"",""แผน!IP49"")"),0)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IFERROR(__xludf.DUMMYFUNCTION("IMPORTRANGE(""https://docs.google.com/spreadsheets/d/19vJNZY_5yjcGF2XGBMNZRCAIB0Kwfpjp8YEOfu-bneM/edit?usp=sharing"",""งานกองทุน!F49"")"),896882.37)</f>
        <v>896882.37</v>
      </c>
      <c r="K821" s="497">
        <f t="shared" ref="K821:K828" ca="1" si="335">IF(I821&gt;0,J821*100/I821,0)</f>
        <v>18.985939694343141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IFERROR(__xludf.DUMMYFUNCTION("IMPORTRANGE(""https://docs.google.com/spreadsheets/d/19vJNZY_5yjcGF2XGBMNZRCAIB0Kwfpjp8YEOfu-bneM/edit?usp=sharing"",""งานกองทุน!E49"")"),74)</f>
        <v>74</v>
      </c>
      <c r="K822" s="497">
        <f t="shared" ca="1" si="335"/>
        <v>17.78846153846154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IFERROR(__xludf.DUMMYFUNCTION("IMPORTRANGE(""https://docs.google.com/spreadsheets/d/19vJNZY_5yjcGF2XGBMNZRCAIB0Kwfpjp8YEOfu-bneM/edit?usp=sharing"",""งานกองทุน!K49"")"),172765.6)</f>
        <v>172765.6</v>
      </c>
      <c r="K823" s="497">
        <f t="shared" ca="1" si="335"/>
        <v>5.1945365445569216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IFERROR(__xludf.DUMMYFUNCTION("IMPORTRANGE(""https://docs.google.com/spreadsheets/d/19vJNZY_5yjcGF2XGBMNZRCAIB0Kwfpjp8YEOfu-bneM/edit?usp=sharing"",""งานกองทุน!J49"")"),62)</f>
        <v>62</v>
      </c>
      <c r="K824" s="497">
        <f t="shared" ca="1" si="335"/>
        <v>32.291666666666664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IFERROR(__xludf.DUMMYFUNCTION("IMPORTRANGE(""https://docs.google.com/spreadsheets/d/19vJNZY_5yjcGF2XGBMNZRCAIB0Kwfpjp8YEOfu-bneM/edit?usp=sharing"",""งานกองทุน!P49"")"),15021.97)</f>
        <v>15021.97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IFERROR(__xludf.DUMMYFUNCTION("IMPORTRANGE(""https://docs.google.com/spreadsheets/d/19vJNZY_5yjcGF2XGBMNZRCAIB0Kwfpjp8YEOfu-bneM/edit?usp=sharing"",""งานกองทุน!O49"")"),5)</f>
        <v>5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IFERROR(__xludf.DUMMYFUNCTION("IMPORTRANGE(""https://docs.google.com/spreadsheets/d/19vJNZY_5yjcGF2XGBMNZRCAIB0Kwfpjp8YEOfu-bneM/edit?usp=sharing"",""งานกองทุน!U49"")"),4888696)</f>
        <v>4888696</v>
      </c>
      <c r="K827" s="497">
        <f t="shared" ca="1" si="335"/>
        <v>97.773920000000004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IFERROR(__xludf.DUMMYFUNCTION("IMPORTRANGE(""https://docs.google.com/spreadsheets/d/19vJNZY_5yjcGF2XGBMNZRCAIB0Kwfpjp8YEOfu-bneM/edit?usp=sharing"",""งานกองทุน!R49"")"),185)</f>
        <v>185</v>
      </c>
      <c r="J828" s="500">
        <f ca="1">IFERROR(__xludf.DUMMYFUNCTION("IMPORTRANGE(""https://docs.google.com/spreadsheets/d/19vJNZY_5yjcGF2XGBMNZRCAIB0Kwfpjp8YEOfu-bneM/edit?usp=sharing"",""งานกองทุน!T49"")"),160)</f>
        <v>160</v>
      </c>
      <c r="K828" s="501">
        <f t="shared" ca="1" si="335"/>
        <v>86.486486486486484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1E788-4E9C-4379-BC81-44104746783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329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2778037.48</v>
      </c>
      <c r="N8" s="22">
        <f t="shared" ca="1" si="0"/>
        <v>1995087.1999999997</v>
      </c>
      <c r="O8" s="22">
        <f t="shared" ref="O8:O16" ca="1" si="1">IF(L8&gt;0,N8*100/L8,0)</f>
        <v>30.781034219145518</v>
      </c>
      <c r="P8" s="22">
        <f t="shared" ref="P8:P16" ca="1" si="2">IF(M8&gt;0,N8*100/M8,0)</f>
        <v>71.816424881351836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2778037.48</v>
      </c>
      <c r="N10" s="30">
        <f t="shared" ca="1" si="3"/>
        <v>1995087.1999999997</v>
      </c>
      <c r="O10" s="30">
        <f t="shared" ca="1" si="1"/>
        <v>30.781034219145518</v>
      </c>
      <c r="P10" s="30">
        <f t="shared" ca="1" si="2"/>
        <v>71.816424881351836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6397747</v>
      </c>
      <c r="M11" s="497">
        <f t="shared" ca="1" si="4"/>
        <v>2694237.48</v>
      </c>
      <c r="N11" s="497">
        <f t="shared" ca="1" si="4"/>
        <v>1911287.1999999997</v>
      </c>
      <c r="O11" s="497">
        <f t="shared" ca="1" si="1"/>
        <v>29.874379215058045</v>
      </c>
      <c r="P11" s="497">
        <f t="shared" ca="1" si="2"/>
        <v>70.939819306500027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6397747</v>
      </c>
      <c r="M13" s="93">
        <f t="shared" ca="1" si="5"/>
        <v>2694237.48</v>
      </c>
      <c r="N13" s="93">
        <f t="shared" ca="1" si="5"/>
        <v>1911287.1999999997</v>
      </c>
      <c r="O13" s="93">
        <f t="shared" ca="1" si="1"/>
        <v>29.874379215058045</v>
      </c>
      <c r="P13" s="93">
        <f t="shared" ca="1" si="2"/>
        <v>70.939819306500027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2778037.48</v>
      </c>
      <c r="N18" s="22">
        <f t="shared" ca="1" si="8"/>
        <v>1437812.0399999998</v>
      </c>
      <c r="O18" s="22">
        <f t="shared" ref="O18:O26" ca="1" si="9">IF(L18&gt;0,N18*100/L18,0)</f>
        <v>39.724490393594614</v>
      </c>
      <c r="P18" s="22">
        <f t="shared" ref="P18:P26" ca="1" si="10">IF(M18&gt;0,N18*100/M18,0)</f>
        <v>51.756394589751892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2778037.48</v>
      </c>
      <c r="N20" s="30">
        <f t="shared" ca="1" si="11"/>
        <v>1437812.0399999998</v>
      </c>
      <c r="O20" s="30">
        <f t="shared" ca="1" si="9"/>
        <v>39.724490393594614</v>
      </c>
      <c r="P20" s="30">
        <f t="shared" ca="1" si="10"/>
        <v>51.756394589751892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2694237.48</v>
      </c>
      <c r="N21" s="497">
        <f t="shared" ca="1" si="12"/>
        <v>1354012.0399999998</v>
      </c>
      <c r="O21" s="497">
        <f t="shared" ca="1" si="9"/>
        <v>38.29587799731874</v>
      </c>
      <c r="P21" s="497">
        <f t="shared" ca="1" si="10"/>
        <v>50.255853466933424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3535660</v>
      </c>
      <c r="M23" s="93">
        <f t="shared" ca="1" si="13"/>
        <v>2694237.48</v>
      </c>
      <c r="N23" s="93">
        <f t="shared" ca="1" si="13"/>
        <v>1354012.0399999998</v>
      </c>
      <c r="O23" s="93">
        <f t="shared" ca="1" si="9"/>
        <v>38.29587799731874</v>
      </c>
      <c r="P23" s="93">
        <f t="shared" ca="1" si="10"/>
        <v>50.255853466933424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si="16"/>
        <v>0</v>
      </c>
      <c r="N28" s="22">
        <f t="shared" si="16"/>
        <v>557275.15999999992</v>
      </c>
      <c r="O28" s="22">
        <f t="shared" ref="O28:O37" ca="1" si="17">IF(L28&gt;0,N28*100/L28,0)</f>
        <v>19.470937116866118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si="19"/>
        <v>0</v>
      </c>
      <c r="N30" s="30">
        <f t="shared" si="19"/>
        <v>557275.15999999992</v>
      </c>
      <c r="O30" s="30">
        <f t="shared" ca="1" si="17"/>
        <v>19.470937116866118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2862087</v>
      </c>
      <c r="M31" s="497">
        <f t="shared" si="20"/>
        <v>0</v>
      </c>
      <c r="N31" s="497">
        <f t="shared" si="20"/>
        <v>557275.15999999992</v>
      </c>
      <c r="O31" s="497">
        <f t="shared" ca="1" si="17"/>
        <v>19.470937116866118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2862087</v>
      </c>
      <c r="M33" s="93">
        <f t="shared" si="21"/>
        <v>0</v>
      </c>
      <c r="N33" s="93">
        <f t="shared" si="21"/>
        <v>557275.15999999992</v>
      </c>
      <c r="O33" s="93">
        <f t="shared" ca="1" si="17"/>
        <v>19.470937116866118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3619460</v>
      </c>
      <c r="M37" s="843">
        <f t="shared" ca="1" si="24"/>
        <v>2778037.48</v>
      </c>
      <c r="N37" s="843">
        <f t="shared" ca="1" si="24"/>
        <v>1437812.0399999998</v>
      </c>
      <c r="O37" s="843">
        <f t="shared" ca="1" si="17"/>
        <v>39.724490393594614</v>
      </c>
      <c r="P37" s="843">
        <f t="shared" ca="1" si="18"/>
        <v>51.756394589751892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754692.48</v>
      </c>
      <c r="N41" s="85">
        <f t="shared" ca="1" si="25"/>
        <v>332234.40999999997</v>
      </c>
      <c r="O41" s="85">
        <f t="shared" ref="O41:O49" ca="1" si="26">IF(L41&gt;0,N41*100/L41,0)</f>
        <v>44.502633447190405</v>
      </c>
      <c r="P41" s="85">
        <f t="shared" ref="P41:P49" ca="1" si="27">IF(M41&gt;0,N41*100/M41,0)</f>
        <v>44.022488471065721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754692.48</v>
      </c>
      <c r="N43" s="92">
        <f t="shared" ca="1" si="28"/>
        <v>332234.40999999997</v>
      </c>
      <c r="O43" s="92">
        <f t="shared" ca="1" si="26"/>
        <v>44.502633447190405</v>
      </c>
      <c r="P43" s="92">
        <f t="shared" ca="1" si="27"/>
        <v>44.022488471065721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754692.48</v>
      </c>
      <c r="N44" s="497">
        <f t="shared" ca="1" si="29"/>
        <v>332234.40999999997</v>
      </c>
      <c r="O44" s="497">
        <f t="shared" ca="1" si="26"/>
        <v>44.502633447190405</v>
      </c>
      <c r="P44" s="497">
        <f t="shared" ca="1" si="27"/>
        <v>44.022488471065721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IFERROR(__xludf.DUMMYFUNCTION("IMPORTRANGE(""https://docs.google.com/spreadsheets/d/1MeEWN-I1oV_STSDYn1IFDPWt_1FKiwhDph83XaGc0o0/edit?usp=sharing"",""งบพรบ!R32"")"),754692.48)</f>
        <v>754692.48</v>
      </c>
      <c r="N46" s="93">
        <f ca="1">IFERROR(__xludf.DUMMYFUNCTION("IMPORTRANGE(""https://docs.google.com/spreadsheets/d/1MeEWN-I1oV_STSDYn1IFDPWt_1FKiwhDph83XaGc0o0/edit?usp=sharing"",""งบพรบ!T32"")"),332234.41)</f>
        <v>332234.40999999997</v>
      </c>
      <c r="O46" s="93">
        <f t="shared" ca="1" si="26"/>
        <v>44.502633447190405</v>
      </c>
      <c r="P46" s="93">
        <f t="shared" ca="1" si="27"/>
        <v>44.022488471065721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569625</v>
      </c>
      <c r="N53" s="116">
        <f t="shared" ca="1" si="31"/>
        <v>387667.72</v>
      </c>
      <c r="O53" s="116">
        <f t="shared" ref="O53:O61" ca="1" si="32">IF(L53&gt;0,N53*100/L53,0)</f>
        <v>51.042491112574062</v>
      </c>
      <c r="P53" s="116">
        <f t="shared" ref="P53:P61" ca="1" si="33">IF(M53&gt;0,N53*100/M53,0)</f>
        <v>68.056654816765416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569625</v>
      </c>
      <c r="N55" s="123">
        <f t="shared" ca="1" si="34"/>
        <v>387667.72</v>
      </c>
      <c r="O55" s="123">
        <f t="shared" ca="1" si="32"/>
        <v>51.042491112574062</v>
      </c>
      <c r="P55" s="123">
        <f t="shared" ca="1" si="33"/>
        <v>68.056654816765416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569625</v>
      </c>
      <c r="N56" s="497">
        <f t="shared" ca="1" si="35"/>
        <v>387667.72</v>
      </c>
      <c r="O56" s="497">
        <f t="shared" ca="1" si="32"/>
        <v>51.042491112574062</v>
      </c>
      <c r="P56" s="497">
        <f t="shared" ca="1" si="33"/>
        <v>68.056654816765416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IFERROR(__xludf.DUMMYFUNCTION("IMPORTRANGE(""https://docs.google.com/spreadsheets/d/1MeEWN-I1oV_STSDYn1IFDPWt_1FKiwhDph83XaGc0o0/edit?usp=sharing"",""งบพรบ!AB32"")"),569625)</f>
        <v>569625</v>
      </c>
      <c r="N58" s="93">
        <f ca="1">IFERROR(__xludf.DUMMYFUNCTION("IMPORTRANGE(""https://docs.google.com/spreadsheets/d/1MeEWN-I1oV_STSDYn1IFDPWt_1FKiwhDph83XaGc0o0/edit?usp=sharing"",""งบพรบ!AD32"")"),387667.72)</f>
        <v>387667.72</v>
      </c>
      <c r="O58" s="93">
        <f t="shared" ca="1" si="32"/>
        <v>51.042491112574062</v>
      </c>
      <c r="P58" s="93">
        <f t="shared" ca="1" si="33"/>
        <v>68.056654816765416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23440</v>
      </c>
      <c r="N88" s="155">
        <f t="shared" ca="1" si="49"/>
        <v>21180.3</v>
      </c>
      <c r="O88" s="155">
        <f t="shared" ref="O88:O96" ca="1" si="50">IF(L88&gt;0,N88*100/L88,0)</f>
        <v>37.79496788008565</v>
      </c>
      <c r="P88" s="155">
        <f t="shared" ref="P88:P96" ca="1" si="51">IF(M88&gt;0,N88*100/M88,0)</f>
        <v>90.359641638225256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56040</v>
      </c>
      <c r="M90" s="93">
        <f t="shared" ca="1" si="52"/>
        <v>23440</v>
      </c>
      <c r="N90" s="93">
        <f t="shared" ca="1" si="52"/>
        <v>21180.3</v>
      </c>
      <c r="O90" s="93">
        <f t="shared" ca="1" si="50"/>
        <v>37.79496788008565</v>
      </c>
      <c r="P90" s="93">
        <f t="shared" ca="1" si="51"/>
        <v>90.359641638225256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23440</v>
      </c>
      <c r="N91" s="497">
        <f t="shared" ca="1" si="53"/>
        <v>21180.3</v>
      </c>
      <c r="O91" s="497">
        <f t="shared" ca="1" si="50"/>
        <v>37.79496788008565</v>
      </c>
      <c r="P91" s="497">
        <f t="shared" ca="1" si="51"/>
        <v>90.359641638225256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IFERROR(__xludf.DUMMYFUNCTION("IMPORTRANGE(""https://docs.google.com/spreadsheets/d/1MeEWN-I1oV_STSDYn1IFDPWt_1FKiwhDph83XaGc0o0/edit?usp=sharing"",""งบพรบ!AV32"")"),23440)</f>
        <v>23440</v>
      </c>
      <c r="N93" s="93">
        <f ca="1">IFERROR(__xludf.DUMMYFUNCTION("IMPORTRANGE(""https://docs.google.com/spreadsheets/d/1MeEWN-I1oV_STSDYn1IFDPWt_1FKiwhDph83XaGc0o0/edit?usp=sharing"",""งบพรบ!AX32"")"),21180.3)</f>
        <v>21180.3</v>
      </c>
      <c r="O93" s="93">
        <f t="shared" ca="1" si="50"/>
        <v>37.79496788008565</v>
      </c>
      <c r="P93" s="93">
        <f t="shared" ca="1" si="51"/>
        <v>90.359641638225256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22820</v>
      </c>
      <c r="N149" s="155">
        <f t="shared" ca="1" si="77"/>
        <v>7372</v>
      </c>
      <c r="O149" s="155">
        <f t="shared" ref="O149:O157" ca="1" si="78">IF(L149&gt;0,N149*100/L149,0)</f>
        <v>73.72</v>
      </c>
      <c r="P149" s="155">
        <f t="shared" ref="P149:P157" ca="1" si="79">IF(M149&gt;0,N149*100/M149,0)</f>
        <v>32.304995617879051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22820</v>
      </c>
      <c r="N151" s="93">
        <f t="shared" ca="1" si="80"/>
        <v>7372</v>
      </c>
      <c r="O151" s="93">
        <f t="shared" ca="1" si="78"/>
        <v>73.72</v>
      </c>
      <c r="P151" s="93">
        <f t="shared" ca="1" si="79"/>
        <v>32.304995617879051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22820</v>
      </c>
      <c r="N152" s="497">
        <f t="shared" ca="1" si="81"/>
        <v>7372</v>
      </c>
      <c r="O152" s="497">
        <f t="shared" ca="1" si="78"/>
        <v>73.72</v>
      </c>
      <c r="P152" s="497">
        <f t="shared" ca="1" si="79"/>
        <v>32.304995617879051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IFERROR(__xludf.DUMMYFUNCTION("IMPORTRANGE(""https://docs.google.com/spreadsheets/d/1MeEWN-I1oV_STSDYn1IFDPWt_1FKiwhDph83XaGc0o0/edit?usp=sharing"",""งบพรบ!BZ32"")"),22820)</f>
        <v>22820</v>
      </c>
      <c r="N154" s="93">
        <f ca="1">IFERROR(__xludf.DUMMYFUNCTION("IMPORTRANGE(""https://docs.google.com/spreadsheets/d/1MeEWN-I1oV_STSDYn1IFDPWt_1FKiwhDph83XaGc0o0/edit?usp=sharing"",""งบพรบ!CB32"")"),7372)</f>
        <v>7372</v>
      </c>
      <c r="O154" s="93">
        <f t="shared" ca="1" si="78"/>
        <v>73.72</v>
      </c>
      <c r="P154" s="93">
        <f t="shared" ca="1" si="79"/>
        <v>32.304995617879051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IFERROR(__xludf.DUMMYFUNCTION("IMPORTRANGE(""https://docs.google.com/spreadsheets/d/1MeEWN-I1oV_STSDYn1IFDPWt_1FKiwhDph83XaGc0o0/edit?usp=sharing"",""งบพรบ!CJ32"")"),23060)</f>
        <v>23060</v>
      </c>
      <c r="N170" s="93">
        <f ca="1">IFERROR(__xludf.DUMMYFUNCTION("IMPORTRANGE(""https://docs.google.com/spreadsheets/d/1MeEWN-I1oV_STSDYn1IFDPWt_1FKiwhDph83XaGc0o0/edit?usp=sharing"",""งบพรบ!CL32"")"),23060)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48500</v>
      </c>
      <c r="N181" s="155">
        <f t="shared" ca="1" si="92"/>
        <v>26288</v>
      </c>
      <c r="O181" s="155">
        <f t="shared" ref="O181:O189" ca="1" si="93">IF(L181&gt;0,N181*100/L181,0)</f>
        <v>38.715758468335785</v>
      </c>
      <c r="P181" s="155">
        <f t="shared" ref="P181:P189" ca="1" si="94">IF(M181&gt;0,N181*100/M181,0)</f>
        <v>54.202061855670102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67900</v>
      </c>
      <c r="M183" s="93">
        <f t="shared" ca="1" si="95"/>
        <v>48500</v>
      </c>
      <c r="N183" s="93">
        <f t="shared" ca="1" si="95"/>
        <v>26288</v>
      </c>
      <c r="O183" s="93">
        <f t="shared" ca="1" si="93"/>
        <v>38.715758468335785</v>
      </c>
      <c r="P183" s="93">
        <f t="shared" ca="1" si="94"/>
        <v>54.202061855670102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48500</v>
      </c>
      <c r="N184" s="497">
        <f t="shared" ca="1" si="96"/>
        <v>26288</v>
      </c>
      <c r="O184" s="497">
        <f t="shared" ca="1" si="93"/>
        <v>38.715758468335785</v>
      </c>
      <c r="P184" s="497">
        <f t="shared" ca="1" si="94"/>
        <v>54.202061855670102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IFERROR(__xludf.DUMMYFUNCTION("IMPORTRANGE(""https://docs.google.com/spreadsheets/d/1MeEWN-I1oV_STSDYn1IFDPWt_1FKiwhDph83XaGc0o0/edit?usp=sharing"",""งบพรบ!CT32"")"),48500)</f>
        <v>48500</v>
      </c>
      <c r="N186" s="93">
        <f ca="1">IFERROR(__xludf.DUMMYFUNCTION("IMPORTRANGE(""https://docs.google.com/spreadsheets/d/1MeEWN-I1oV_STSDYn1IFDPWt_1FKiwhDph83XaGc0o0/edit?usp=sharing"",""งบพรบ!CV32"")"),26288)</f>
        <v>26288</v>
      </c>
      <c r="O186" s="93">
        <f t="shared" ca="1" si="93"/>
        <v>38.715758468335785</v>
      </c>
      <c r="P186" s="93">
        <f t="shared" ca="1" si="94"/>
        <v>54.202061855670102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26288</v>
      </c>
      <c r="O198" s="155">
        <f ca="1">IF(L198&gt;0,N198*100/L198,0)</f>
        <v>67.405128205128207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4">
        <v>2288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4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20780</v>
      </c>
      <c r="O261" s="155">
        <f t="shared" ref="O261:O269" ca="1" si="117">IF(L261&gt;0,N261*100/L261,0)</f>
        <v>83.12</v>
      </c>
      <c r="P261" s="155">
        <f t="shared" ref="P261:P269" ca="1" si="118">IF(M261&gt;0,N261*100/M261,0)</f>
        <v>94.454545454545453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20780</v>
      </c>
      <c r="O263" s="93">
        <f t="shared" ca="1" si="117"/>
        <v>83.12</v>
      </c>
      <c r="P263" s="93">
        <f t="shared" ca="1" si="118"/>
        <v>94.454545454545453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20780</v>
      </c>
      <c r="O264" s="497">
        <f t="shared" ca="1" si="117"/>
        <v>83.12</v>
      </c>
      <c r="P264" s="497">
        <f t="shared" ca="1" si="118"/>
        <v>94.454545454545453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IFERROR(__xludf.DUMMYFUNCTION("IMPORTRANGE(""https://docs.google.com/spreadsheets/d/1MeEWN-I1oV_STSDYn1IFDPWt_1FKiwhDph83XaGc0o0/edit?usp=sharing"",""งบพรบ!DD32"")"),22000)</f>
        <v>22000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7"/>
        <v>83.12</v>
      </c>
      <c r="P266" s="93">
        <f t="shared" ca="1" si="118"/>
        <v>94.454545454545453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250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170820</v>
      </c>
      <c r="N277" s="155">
        <f t="shared" ca="1" si="125"/>
        <v>77191.23</v>
      </c>
      <c r="O277" s="155">
        <f t="shared" ref="O277:O285" ca="1" si="126">IF(L277&gt;0,N277*100/L277,0)</f>
        <v>29.69807248384118</v>
      </c>
      <c r="P277" s="155">
        <f t="shared" ref="P277:P285" ca="1" si="127">IF(M277&gt;0,N277*100/M277,0)</f>
        <v>45.188637161924831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259920</v>
      </c>
      <c r="M279" s="93">
        <f t="shared" ca="1" si="128"/>
        <v>170820</v>
      </c>
      <c r="N279" s="93">
        <f t="shared" ca="1" si="128"/>
        <v>77191.23</v>
      </c>
      <c r="O279" s="93">
        <f t="shared" ca="1" si="126"/>
        <v>29.69807248384118</v>
      </c>
      <c r="P279" s="93">
        <f t="shared" ca="1" si="127"/>
        <v>45.188637161924831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170820</v>
      </c>
      <c r="N280" s="497">
        <f t="shared" ca="1" si="129"/>
        <v>77191.23</v>
      </c>
      <c r="O280" s="497">
        <f t="shared" ca="1" si="126"/>
        <v>29.69807248384118</v>
      </c>
      <c r="P280" s="497">
        <f t="shared" ca="1" si="127"/>
        <v>45.188637161924831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IFERROR(__xludf.DUMMYFUNCTION("IMPORTRANGE(""https://docs.google.com/spreadsheets/d/1MeEWN-I1oV_STSDYn1IFDPWt_1FKiwhDph83XaGc0o0/edit?usp=sharing"",""งบพรบ!DN32"")"),170820)</f>
        <v>170820</v>
      </c>
      <c r="N282" s="93">
        <f ca="1">IFERROR(__xludf.DUMMYFUNCTION("IMPORTRANGE(""https://docs.google.com/spreadsheets/d/1MeEWN-I1oV_STSDYn1IFDPWt_1FKiwhDph83XaGc0o0/edit?usp=sharing"",""งบพรบ!DP32"")"),77191.23)</f>
        <v>77191.23</v>
      </c>
      <c r="O282" s="93">
        <f t="shared" ca="1" si="126"/>
        <v>29.69807248384118</v>
      </c>
      <c r="P282" s="93">
        <f t="shared" ca="1" si="127"/>
        <v>45.188637161924831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IFERROR(__xludf.DUMMYFUNCTION("IMPORTRANGE(""https://docs.google.com/spreadsheets/d/1QqKyyYR6Q21VydFLVH3TRQUabQu_ym0Zz7PgGX0-kHA/edit?usp=sharing"",""แผน!EB32"")"),25)</f>
        <v>25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0" t="s">
        <v>333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28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122006.44</v>
      </c>
      <c r="O315" s="155">
        <f t="shared" ref="O315:O323" ca="1" si="144">IF(L315&gt;0,N315*100/L315,0)</f>
        <v>27.791899772209568</v>
      </c>
      <c r="P315" s="155">
        <f t="shared" ref="P315:P323" ca="1" si="145">IF(M315&gt;0,N315*100/M315,0)</f>
        <v>37.831454263565888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122006.44</v>
      </c>
      <c r="O317" s="93">
        <f t="shared" ca="1" si="144"/>
        <v>27.791899772209568</v>
      </c>
      <c r="P317" s="93">
        <f t="shared" ca="1" si="145"/>
        <v>37.831454263565888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122006.44</v>
      </c>
      <c r="O318" s="497">
        <f t="shared" ca="1" si="144"/>
        <v>27.791899772209568</v>
      </c>
      <c r="P318" s="497">
        <f t="shared" ca="1" si="145"/>
        <v>37.831454263565888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IFERROR(__xludf.DUMMYFUNCTION("IMPORTRANGE(""https://docs.google.com/spreadsheets/d/1MeEWN-I1oV_STSDYn1IFDPWt_1FKiwhDph83XaGc0o0/edit?usp=sharing"",""งบพรบ!EH32"")"),322500)</f>
        <v>322500</v>
      </c>
      <c r="N320" s="93">
        <f ca="1">IFERROR(__xludf.DUMMYFUNCTION("IMPORTRANGE(""https://docs.google.com/spreadsheets/d/1MeEWN-I1oV_STSDYn1IFDPWt_1FKiwhDph83XaGc0o0/edit?usp=sharing"",""งบพรบ!EJ32"")"),122006.44)</f>
        <v>122006.44</v>
      </c>
      <c r="O320" s="93">
        <f t="shared" ca="1" si="144"/>
        <v>27.791899772209568</v>
      </c>
      <c r="P320" s="93">
        <f t="shared" ca="1" si="145"/>
        <v>37.831454263565888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1271</v>
      </c>
      <c r="K327" s="445">
        <f ca="1">IF(I327&gt;0,J327*100/I327,0)</f>
        <v>70.611111111111114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87000</v>
      </c>
      <c r="N328" s="155">
        <f t="shared" ca="1" si="149"/>
        <v>51532.74</v>
      </c>
      <c r="O328" s="155">
        <f t="shared" ref="O328:O336" ca="1" si="150">IF(L328&gt;0,N328*100/L328,0)</f>
        <v>29.616517241379309</v>
      </c>
      <c r="P328" s="155">
        <f t="shared" ref="P328:P336" ca="1" si="151">IF(M328&gt;0,N328*100/M328,0)</f>
        <v>59.233034482758619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174000</v>
      </c>
      <c r="M330" s="93">
        <f t="shared" ca="1" si="152"/>
        <v>87000</v>
      </c>
      <c r="N330" s="93">
        <f t="shared" ca="1" si="152"/>
        <v>51532.74</v>
      </c>
      <c r="O330" s="93">
        <f t="shared" ca="1" si="150"/>
        <v>29.616517241379309</v>
      </c>
      <c r="P330" s="93">
        <f t="shared" ca="1" si="151"/>
        <v>59.233034482758619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87000</v>
      </c>
      <c r="N331" s="497">
        <f t="shared" ca="1" si="153"/>
        <v>51532.74</v>
      </c>
      <c r="O331" s="497">
        <f t="shared" ca="1" si="150"/>
        <v>29.616517241379309</v>
      </c>
      <c r="P331" s="497">
        <f t="shared" ca="1" si="151"/>
        <v>59.233034482758619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IFERROR(__xludf.DUMMYFUNCTION("IMPORTRANGE(""https://docs.google.com/spreadsheets/d/1MeEWN-I1oV_STSDYn1IFDPWt_1FKiwhDph83XaGc0o0/edit?usp=sharing"",""งบพรบ!ER32"")"),87000)</f>
        <v>87000</v>
      </c>
      <c r="N333" s="93">
        <f ca="1">IFERROR(__xludf.DUMMYFUNCTION("IMPORTRANGE(""https://docs.google.com/spreadsheets/d/1MeEWN-I1oV_STSDYn1IFDPWt_1FKiwhDph83XaGc0o0/edit?usp=sharing"",""งบพรบ!ET32"")"),51532.74)</f>
        <v>51532.74</v>
      </c>
      <c r="O333" s="93">
        <f t="shared" ca="1" si="150"/>
        <v>29.616517241379309</v>
      </c>
      <c r="P333" s="93">
        <f t="shared" ca="1" si="151"/>
        <v>59.233034482758619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IFERROR(__xludf.DUMMYFUNCTION("IMPORTRANGE(""https://docs.google.com/spreadsheets/d/1kVcqe37tkHyjCSG3S0O1AXqVkqjo8mSIZil3BcpIysc/edit?usp=sharing"",""ศูนย์!D32"")"),1239)</f>
        <v>1239</v>
      </c>
      <c r="K338" s="497">
        <f ca="1">IF(I338&gt;0,J338*100/I338,0)</f>
        <v>68.833333333333329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IFERROR(__xludf.DUMMYFUNCTION("IMPORTRANGE(""https://docs.google.com/spreadsheets/d/1kVcqe37tkHyjCSG3S0O1AXqVkqjo8mSIZil3BcpIysc/edit?usp=sharing"",""ศูนย์!E32"")"),3)</f>
        <v>3</v>
      </c>
      <c r="K340" s="497">
        <f ca="1">IF(I340&gt;0,J340*100/I340,0)</f>
        <v>37.5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IFERROR(__xludf.DUMMYFUNCTION("IMPORTRANGE(""https://docs.google.com/spreadsheets/d/1kVcqe37tkHyjCSG3S0O1AXqVkqjo8mSIZil3BcpIysc/edit?usp=sharing"",""ศูนย์!F32"")"),32)</f>
        <v>32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733580</v>
      </c>
      <c r="N345" s="155">
        <f t="shared" ca="1" si="155"/>
        <v>368499.20000000001</v>
      </c>
      <c r="O345" s="155">
        <f t="shared" ref="O345:O353" ca="1" si="156">IF(L345&gt;0,N345*100/L345,0)</f>
        <v>34.813668527808481</v>
      </c>
      <c r="P345" s="155">
        <f t="shared" ref="P345:P353" ca="1" si="157">IF(M345&gt;0,N345*100/M345,0)</f>
        <v>50.23299435644374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1058490</v>
      </c>
      <c r="M347" s="93">
        <f t="shared" ca="1" si="158"/>
        <v>733580</v>
      </c>
      <c r="N347" s="93">
        <f t="shared" ca="1" si="158"/>
        <v>368499.20000000001</v>
      </c>
      <c r="O347" s="93">
        <f t="shared" ca="1" si="156"/>
        <v>34.813668527808481</v>
      </c>
      <c r="P347" s="93">
        <f t="shared" ca="1" si="157"/>
        <v>50.23299435644374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649780</v>
      </c>
      <c r="N348" s="497">
        <f t="shared" ca="1" si="159"/>
        <v>284699.2</v>
      </c>
      <c r="O348" s="497">
        <f t="shared" ca="1" si="156"/>
        <v>29.209204977993004</v>
      </c>
      <c r="P348" s="497">
        <f t="shared" ca="1" si="157"/>
        <v>43.814706516051587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IFERROR(__xludf.DUMMYFUNCTION("IMPORTRANGE(""https://docs.google.com/spreadsheets/d/1MeEWN-I1oV_STSDYn1IFDPWt_1FKiwhDph83XaGc0o0/edit?usp=sharing"",""งบพรบ!FB32"")"),649780)</f>
        <v>649780</v>
      </c>
      <c r="N350" s="93">
        <f ca="1">IFERROR(__xludf.DUMMYFUNCTION("IMPORTRANGE(""https://docs.google.com/spreadsheets/d/1MeEWN-I1oV_STSDYn1IFDPWt_1FKiwhDph83XaGc0o0/edit?usp=sharing"",""งบพรบ!FD32"")"),284699.2)</f>
        <v>284699.2</v>
      </c>
      <c r="O350" s="93">
        <f t="shared" ca="1" si="156"/>
        <v>29.209204977993004</v>
      </c>
      <c r="P350" s="93">
        <f t="shared" ca="1" si="157"/>
        <v>43.814706516051587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IFERROR(__xludf.DUMMYFUNCTION("IMPORTRANGE(""https://docs.google.com/spreadsheets/d/1XWAQStnk-4SwqDmLtmXYiTMKHgktTP8We1SCoS47DrQ/edit?usp=sharing"",""จัดที่ดิน!W32"")"),161)</f>
        <v>161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IFERROR(__xludf.DUMMYFUNCTION("IMPORTRANGE(""https://docs.google.com/spreadsheets/d/1XWAQStnk-4SwqDmLtmXYiTMKHgktTP8We1SCoS47DrQ/edit?usp=sharing"",""จัดที่ดิน!X32"")"),1382.18)</f>
        <v>1382.18</v>
      </c>
      <c r="K359" s="497">
        <f t="shared" ca="1" si="161"/>
        <v>55.287199999999999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IFERROR(__xludf.DUMMYFUNCTION("IMPORTRANGE(""https://docs.google.com/spreadsheets/d/1XWAQStnk-4SwqDmLtmXYiTMKHgktTP8We1SCoS47DrQ/edit?usp=sharing"",""จัดที่ดิน!Y32"")"),179)</f>
        <v>179</v>
      </c>
      <c r="K360" s="497">
        <f t="shared" ca="1" si="161"/>
        <v>71.599999999999994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IFERROR(__xludf.DUMMYFUNCTION("IMPORTRANGE(""https://docs.google.com/spreadsheets/d/1XWAQStnk-4SwqDmLtmXYiTMKHgktTP8We1SCoS47DrQ/edit?usp=sharing"",""จัดที่ดิน!Z32"")"),1487.32)</f>
        <v>1487.32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1000</v>
      </c>
      <c r="J364" s="478">
        <f t="shared" ca="1" si="162"/>
        <v>28</v>
      </c>
      <c r="K364" s="479">
        <f t="shared" ca="1" si="161"/>
        <v>2.8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IFERROR(__xludf.DUMMYFUNCTION("IMPORTRANGE(""https://docs.google.com/spreadsheets/d/1XWAQStnk-4SwqDmLtmXYiTMKHgktTP8We1SCoS47DrQ/edit?usp=sharing"",""จัดที่ดิน!E32"")"),15)</f>
        <v>15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IFERROR(__xludf.DUMMYFUNCTION("IMPORTRANGE(""https://docs.google.com/spreadsheets/d/1QqKyyYR6Q21VydFLVH3TRQUabQu_ym0Zz7PgGX0-kHA/edit?usp=sharing"",""แผน!EI32"")"),500)</f>
        <v>500</v>
      </c>
      <c r="J369" s="270">
        <f ca="1">IFERROR(__xludf.DUMMYFUNCTION("IMPORTRANGE(""https://docs.google.com/spreadsheets/d/1XWAQStnk-4SwqDmLtmXYiTMKHgktTP8We1SCoS47DrQ/edit?usp=sharing"",""จัดที่ดิน!F32"")"),92.67)</f>
        <v>92.67</v>
      </c>
      <c r="K369" s="497">
        <f t="shared" ca="1" si="163"/>
        <v>18.533999999999999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IFERROR(__xludf.DUMMYFUNCTION("IMPORTRANGE(""https://docs.google.com/spreadsheets/d/1XWAQStnk-4SwqDmLtmXYiTMKHgktTP8We1SCoS47DrQ/edit?usp=sharing"",""จัดที่ดิน!G32"")"),33)</f>
        <v>33</v>
      </c>
      <c r="K370" s="497">
        <f t="shared" ca="1" si="163"/>
        <v>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IFERROR(__xludf.DUMMYFUNCTION("IMPORTRANGE(""https://docs.google.com/spreadsheets/d/1XWAQStnk-4SwqDmLtmXYiTMKHgktTP8We1SCoS47DrQ/edit?usp=sharing"",""จัดที่ดิน!H32"")"),197.81)</f>
        <v>197.81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IFERROR(__xludf.DUMMYFUNCTION("IMPORTRANGE(""https://docs.google.com/spreadsheets/d/1QqKyyYR6Q21VydFLVH3TRQUabQu_ym0Zz7PgGX0-kHA/edit?usp=sharing"",""แผน!EU32"")"),950)</f>
        <v>950</v>
      </c>
      <c r="J374" s="490">
        <f ca="1">J381</f>
        <v>28</v>
      </c>
      <c r="K374" s="491">
        <f t="shared" ca="1" si="163"/>
        <v>2.9473684210526314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IFERROR(__xludf.DUMMYFUNCTION("IMPORTRANGE(""https://docs.google.com/spreadsheets/d/1XWAQStnk-4SwqDmLtmXYiTMKHgktTP8We1SCoS47DrQ/edit?usp=sharing"",""จัดที่ดิน!AH32"")"),146)</f>
        <v>146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IFERROR(__xludf.DUMMYFUNCTION("IMPORTRANGE(""https://docs.google.com/spreadsheets/d/1QqKyyYR6Q21VydFLVH3TRQUabQu_ym0Zz7PgGX0-kHA/edit?usp=sharing"",""แผน!ET32"")"),2000)</f>
        <v>2000</v>
      </c>
      <c r="J378" s="270">
        <f ca="1">IFERROR(__xludf.DUMMYFUNCTION("IMPORTRANGE(""https://docs.google.com/spreadsheets/d/1XWAQStnk-4SwqDmLtmXYiTMKHgktTP8We1SCoS47DrQ/edit?usp=sharing"",""จัดที่ดิน!AI32"")"),1289.51)</f>
        <v>1289.51</v>
      </c>
      <c r="K378" s="497">
        <f t="shared" ca="1" si="164"/>
        <v>64.475499999999997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IFERROR(__xludf.DUMMYFUNCTION("IMPORTRANGE(""https://docs.google.com/spreadsheets/d/1QqKyyYR6Q21VydFLVH3TRQUabQu_ym0Zz7PgGX0-kHA/edit?usp=sharing"",""แผน!EU32"")"),950)</f>
        <v>950</v>
      </c>
      <c r="J379" s="270">
        <f ca="1">IFERROR(__xludf.DUMMYFUNCTION("IMPORTRANGE(""https://docs.google.com/spreadsheets/d/1XWAQStnk-4SwqDmLtmXYiTMKHgktTP8We1SCoS47DrQ/edit?usp=sharing"",""จัดที่ดิน!AJ32"")"),486)</f>
        <v>486</v>
      </c>
      <c r="K379" s="497">
        <f t="shared" ca="1" si="164"/>
        <v>51.157894736842103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IFERROR(__xludf.DUMMYFUNCTION("IMPORTRANGE(""https://docs.google.com/spreadsheets/d/1XWAQStnk-4SwqDmLtmXYiTMKHgktTP8We1SCoS47DrQ/edit?usp=sharing"",""จัดที่ดิน!AK32"")"),5279.53)</f>
        <v>5279.53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IFERROR(__xludf.DUMMYFUNCTION("IMPORTRANGE(""https://docs.google.com/spreadsheets/d/1QqKyyYR6Q21VydFLVH3TRQUabQu_ym0Zz7PgGX0-kHA/edit?usp=sharing"",""แผน!EU32"")"),950)</f>
        <v>950</v>
      </c>
      <c r="J381" s="270">
        <f ca="1">IFERROR(__xludf.DUMMYFUNCTION("IMPORTRANGE(""https://docs.google.com/spreadsheets/d/1XWAQStnk-4SwqDmLtmXYiTMKHgktTP8We1SCoS47DrQ/edit?usp=sharing"",""จัดที่ดิน!AL32"")"),28)</f>
        <v>28</v>
      </c>
      <c r="K381" s="497">
        <f t="shared" ca="1" si="164"/>
        <v>2.9473684210526314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IFERROR(__xludf.DUMMYFUNCTION("IMPORTRANGE(""https://docs.google.com/spreadsheets/d/1XWAQStnk-4SwqDmLtmXYiTMKHgktTP8We1SCoS47DrQ/edit?usp=sharing"",""จัดที่ดิน!AM32"")"),306.48)</f>
        <v>306.48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IFERROR(__xludf.DUMMYFUNCTION("IMPORTRANGE(""https://docs.google.com/spreadsheets/d/1QqKyyYR6Q21VydFLVH3TRQUabQu_ym0Zz7PgGX0-kHA/edit?usp=sharing"",""แผน!EW32"")"),50)</f>
        <v>50</v>
      </c>
      <c r="J385" s="500">
        <f ca="1">IFERROR(__xludf.DUMMYFUNCTION("IMPORTRANGE(""https://docs.google.com/spreadsheets/d/1XWAQStnk-4SwqDmLtmXYiTMKHgktTP8We1SCoS47DrQ/edit?usp=sharing"",""จัดที่ดิน!AP32"")"),0)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2862087</v>
      </c>
      <c r="M414" s="548">
        <f t="shared" si="181"/>
        <v>0</v>
      </c>
      <c r="N414" s="548">
        <f t="shared" si="181"/>
        <v>557275.15999999992</v>
      </c>
      <c r="O414" s="548">
        <f ca="1">IF(L414&gt;0,N414*100/L414,0)</f>
        <v>19.470937116866118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20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54160</v>
      </c>
      <c r="O419" s="155">
        <f t="shared" ref="O419:O424" ca="1" si="185">IF(L419&gt;0,N419*100/L419,0)</f>
        <v>68.853292651919659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54160</v>
      </c>
      <c r="O421" s="93">
        <f t="shared" ca="1" si="185"/>
        <v>68.853292651919659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54160</v>
      </c>
      <c r="O422" s="497">
        <f t="shared" ca="1" si="185"/>
        <v>68.853292651919659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v>0</v>
      </c>
      <c r="N424" s="93">
        <f>N425+N426+N427+N428</f>
        <v>54160</v>
      </c>
      <c r="O424" s="93">
        <f t="shared" ca="1" si="185"/>
        <v>68.853292651919659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48400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5760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IFERROR(__xludf.DUMMYFUNCTION("IMPORTRANGE(""https://docs.google.com/spreadsheets/d/1QqKyyYR6Q21VydFLVH3TRQUabQu_ym0Zz7PgGX0-kHA/edit?usp=sharing"",""แผน!FC32"")"),20)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IFERROR(__xludf.DUMMYFUNCTION("IMPORTRANGE(""https://docs.google.com/spreadsheets/d/1QqKyyYR6Q21VydFLVH3TRQUabQu_ym0Zz7PgGX0-kHA/edit?usp=sharing"",""แผน!FD32"")"),0)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IFERROR(__xludf.DUMMYFUNCTION("IMPORTRANGE(""https://docs.google.com/spreadsheets/d/1QqKyyYR6Q21VydFLVH3TRQUabQu_ym0Zz7PgGX0-kHA/edit?usp=sharing"",""แผน!FF32"")"),20)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60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300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si="197"/>
        <v>0</v>
      </c>
      <c r="N444" s="195">
        <f t="shared" si="197"/>
        <v>73000</v>
      </c>
      <c r="O444" s="195">
        <f t="shared" ref="O444:O449" ca="1" si="198">IF(L444&gt;0,N444*100/L444,0)</f>
        <v>13.91536408692337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524600</v>
      </c>
      <c r="M446" s="93">
        <f t="shared" si="200"/>
        <v>0</v>
      </c>
      <c r="N446" s="93">
        <f t="shared" si="200"/>
        <v>73000</v>
      </c>
      <c r="O446" s="93">
        <f t="shared" ca="1" si="198"/>
        <v>13.91536408692337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si="201"/>
        <v>0</v>
      </c>
      <c r="N447" s="497">
        <f t="shared" si="201"/>
        <v>73000</v>
      </c>
      <c r="O447" s="497">
        <f t="shared" ca="1" si="198"/>
        <v>13.91536408692337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v>0</v>
      </c>
      <c r="N449" s="93">
        <f>N450+N451+N452+N453</f>
        <v>73000</v>
      </c>
      <c r="O449" s="93">
        <f t="shared" ca="1" si="198"/>
        <v>13.91536408692337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14240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f>10800+8960</f>
        <v>19760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IFERROR(__xludf.DUMMYFUNCTION("IMPORTRANGE(""https://docs.google.com/spreadsheets/d/1QqKyyYR6Q21VydFLVH3TRQUabQu_ym0Zz7PgGX0-kHA/edit?usp=sharing"",""แผน!FX32"")"),131)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IFERROR(__xludf.DUMMYFUNCTION("IMPORTRANGE(""https://docs.google.com/spreadsheets/d/1QqKyyYR6Q21VydFLVH3TRQUabQu_ym0Zz7PgGX0-kHA/edit?usp=sharing"",""แผน!FW32"")"),1300)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si="206"/>
        <v>0</v>
      </c>
      <c r="N467" s="195">
        <f t="shared" si="206"/>
        <v>139039</v>
      </c>
      <c r="O467" s="195">
        <f t="shared" ref="O467:O472" ca="1" si="207">IF(L467&gt;0,N467*100/L467,0)</f>
        <v>11.878923644217526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1170468</v>
      </c>
      <c r="M469" s="93">
        <f t="shared" si="209"/>
        <v>0</v>
      </c>
      <c r="N469" s="93">
        <f t="shared" si="209"/>
        <v>139039</v>
      </c>
      <c r="O469" s="93">
        <f t="shared" ca="1" si="207"/>
        <v>11.878923644217526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si="210"/>
        <v>0</v>
      </c>
      <c r="N470" s="497">
        <f t="shared" si="210"/>
        <v>139039</v>
      </c>
      <c r="O470" s="497">
        <f t="shared" ca="1" si="207"/>
        <v>11.878923644217526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v>0</v>
      </c>
      <c r="N472" s="93">
        <f>N473+N474+N475+N476</f>
        <v>139039</v>
      </c>
      <c r="O472" s="93">
        <f t="shared" ca="1" si="207"/>
        <v>11.878923644217526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72699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39000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f>3200+3900+2500+9750+7990</f>
        <v>27340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30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si="226"/>
        <v>0</v>
      </c>
      <c r="N523" s="195">
        <f t="shared" si="226"/>
        <v>4000</v>
      </c>
      <c r="O523" s="195">
        <f t="shared" ref="O523:O528" ca="1" si="227">IF(L523&gt;0,N523*100/L523,0)</f>
        <v>1.4426891726177595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277260</v>
      </c>
      <c r="M525" s="93">
        <f t="shared" si="229"/>
        <v>0</v>
      </c>
      <c r="N525" s="93">
        <f t="shared" si="229"/>
        <v>4000</v>
      </c>
      <c r="O525" s="93">
        <f t="shared" ca="1" si="227"/>
        <v>1.4426891726177595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si="230"/>
        <v>0</v>
      </c>
      <c r="N526" s="497">
        <f t="shared" si="230"/>
        <v>4000</v>
      </c>
      <c r="O526" s="497">
        <f t="shared" ca="1" si="227"/>
        <v>1.4426891726177595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v>0</v>
      </c>
      <c r="N528" s="93">
        <f>N529+N530+N531+N532</f>
        <v>4000</v>
      </c>
      <c r="O528" s="93">
        <f t="shared" ca="1" si="227"/>
        <v>1.4426891726177595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4000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IFERROR(__xludf.DUMMYFUNCTION("IMPORTRANGE(""https://docs.google.com/spreadsheets/d/1QqKyyYR6Q21VydFLVH3TRQUabQu_ym0Zz7PgGX0-kHA/edit?usp=sharing"",""แผน!GU32"")"),30)</f>
        <v>30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43969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406544</v>
      </c>
      <c r="M544" s="155">
        <f t="shared" si="236"/>
        <v>0</v>
      </c>
      <c r="N544" s="155">
        <f t="shared" si="236"/>
        <v>72218</v>
      </c>
      <c r="O544" s="155">
        <f t="shared" ref="O544:O549" ca="1" si="237">IF(L544&gt;0,N544*100/L544,0)</f>
        <v>17.763882876146248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406544</v>
      </c>
      <c r="M546" s="93">
        <f t="shared" si="240"/>
        <v>0</v>
      </c>
      <c r="N546" s="93">
        <f t="shared" si="240"/>
        <v>72218</v>
      </c>
      <c r="O546" s="93">
        <f t="shared" ca="1" si="237"/>
        <v>17.763882876146248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406544</v>
      </c>
      <c r="M547" s="497">
        <f t="shared" si="241"/>
        <v>0</v>
      </c>
      <c r="N547" s="497">
        <f t="shared" si="241"/>
        <v>72218</v>
      </c>
      <c r="O547" s="497">
        <f t="shared" ca="1" si="237"/>
        <v>17.763882876146248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IFERROR(__xludf.DUMMYFUNCTION("IMPORTRANGE(""https://docs.google.com/spreadsheets/d/1QqKyyYR6Q21VydFLVH3TRQUabQu_ym0Zz7PgGX0-kHA/edit?usp=sharing"",""แผน!HB32"")"),406544)</f>
        <v>406544</v>
      </c>
      <c r="M549" s="93">
        <v>0</v>
      </c>
      <c r="N549" s="93">
        <f>N550+N551+N552+N553+N554</f>
        <v>72218</v>
      </c>
      <c r="O549" s="93">
        <f t="shared" ca="1" si="237"/>
        <v>17.763882876146248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f>20680+12538</f>
        <v>33218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43969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1340.38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IFERROR(__xludf.DUMMYFUNCTION("IMPORTRANGE(""https://docs.google.com/spreadsheets/d/1QqKyyYR6Q21VydFLVH3TRQUabQu_ym0Zz7PgGX0-kHA/edit?usp=sharing"",""แผน!HL32"")"),4)</f>
        <v>4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IFERROR(__xludf.DUMMYFUNCTION("IMPORTRANGE(""https://docs.google.com/spreadsheets/d/1QqKyyYR6Q21VydFLVH3TRQUabQu_ym0Zz7PgGX0-kHA/edit?usp=sharing"",""แผน!HK32"")"),3)</f>
        <v>3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si="263"/>
        <v>0</v>
      </c>
      <c r="N629" s="195">
        <f t="shared" si="263"/>
        <v>211168.15999999997</v>
      </c>
      <c r="O629" s="195">
        <f t="shared" ref="O629:O634" ca="1" si="264">IF(L629&gt;0,N629*100/L629,0)</f>
        <v>55.349897120689874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381515</v>
      </c>
      <c r="M631" s="93">
        <f t="shared" si="266"/>
        <v>0</v>
      </c>
      <c r="N631" s="93">
        <f t="shared" si="266"/>
        <v>211168.15999999997</v>
      </c>
      <c r="O631" s="93">
        <f t="shared" ca="1" si="264"/>
        <v>55.349897120689874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si="267"/>
        <v>0</v>
      </c>
      <c r="N632" s="497">
        <f t="shared" si="267"/>
        <v>211168.15999999997</v>
      </c>
      <c r="O632" s="497">
        <f t="shared" ca="1" si="264"/>
        <v>55.349897120689874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v>0</v>
      </c>
      <c r="N634" s="93">
        <f>N635+N636+N637+N638</f>
        <v>211168.15999999997</v>
      </c>
      <c r="O634" s="93">
        <f t="shared" ca="1" si="264"/>
        <v>55.349897120689874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37322.58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f>38180+20280+70250+1750+15000+21500+6885.58</f>
        <v>173845.58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IFERROR(__xludf.DUMMYFUNCTION("IMPORTRANGE(""https://docs.google.com/spreadsheets/d/1XWAQStnk-4SwqDmLtmXYiTMKHgktTP8We1SCoS47DrQ/edit?usp=sharing"",""จัดที่ดิน!AU32"")"),99)</f>
        <v>99</v>
      </c>
      <c r="K647" s="163">
        <f t="shared" ca="1" si="271"/>
        <v>99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IFERROR(__xludf.DUMMYFUNCTION("IMPORTRANGE(""https://docs.google.com/spreadsheets/d/1XWAQStnk-4SwqDmLtmXYiTMKHgktTP8We1SCoS47DrQ/edit?usp=sharing"",""จัดที่ดิน!AV32"")"),59.08)</f>
        <v>59.08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IFERROR(__xludf.DUMMYFUNCTION("IMPORTRANGE(""https://docs.google.com/spreadsheets/d/1XWAQStnk-4SwqDmLtmXYiTMKHgktTP8We1SCoS47DrQ/edit?usp=sharing"",""จัดที่ดิน!AW32"")"),42)</f>
        <v>42</v>
      </c>
      <c r="K649" s="163">
        <f t="shared" ca="1" si="271"/>
        <v>42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IFERROR(__xludf.DUMMYFUNCTION("IMPORTRANGE(""https://docs.google.com/spreadsheets/d/1XWAQStnk-4SwqDmLtmXYiTMKHgktTP8We1SCoS47DrQ/edit?usp=sharing"",""จัดที่ดิน!AX32"")"),25.11)</f>
        <v>25.11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IFERROR(__xludf.DUMMYFUNCTION("IMPORTRANGE(""https://docs.google.com/spreadsheets/d/1XWAQStnk-4SwqDmLtmXYiTMKHgktTP8We1SCoS47DrQ/edit?usp=sharing"",""จัดที่ดิน!AZ32"")"),0)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3690</v>
      </c>
      <c r="O655" s="195">
        <f t="shared" ref="O655:O660" ca="1" si="274">IF(L655&gt;0,N655*100/L655,0)</f>
        <v>23.653846153846153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3690</v>
      </c>
      <c r="O657" s="93">
        <f t="shared" ca="1" si="274"/>
        <v>23.653846153846153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si="277"/>
        <v>0</v>
      </c>
      <c r="N658" s="497">
        <f t="shared" si="277"/>
        <v>3690</v>
      </c>
      <c r="O658" s="497">
        <f t="shared" ca="1" si="274"/>
        <v>23.653846153846153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v>0</v>
      </c>
      <c r="N660" s="93">
        <f>N661+N662+N663+N664</f>
        <v>3690</v>
      </c>
      <c r="O660" s="93">
        <f t="shared" ca="1" si="274"/>
        <v>23.653846153846153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f>3100+590</f>
        <v>3690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IFERROR(__xludf.DUMMYFUNCTION("IMPORTRANGE(""https://docs.google.com/spreadsheets/d/1QqKyyYR6Q21VydFLVH3TRQUabQu_ym0Zz7PgGX0-kHA/edit?usp=sharing"",""แผน!IA32"")"),100)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IFERROR(__xludf.DUMMYFUNCTION("IMPORTRANGE(""https://docs.google.com/spreadsheets/d/1QqKyyYR6Q21VydFLVH3TRQUabQu_ym0Zz7PgGX0-kHA/edit?usp=sharing"",""แผน!IB32"")"),0)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7440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IFERROR(__xludf.DUMMYFUNCTION("IMPORTRANGE(""https://docs.google.com/spreadsheets/d/1QqKyyYR6Q21VydFLVH3TRQUabQu_ym0Zz7PgGX0-kHA/edit?usp=sharing"",""แผน!IE32"")"),4)</f>
        <v>4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IFERROR(__xludf.DUMMYFUNCTION("IMPORTRANGE(""https://docs.google.com/spreadsheets/d/1QqKyyYR6Q21VydFLVH3TRQUabQu_ym0Zz7PgGX0-kHA/edit?usp=sharing"",""แผน!IF32"")"),4)</f>
        <v>4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IFERROR(__xludf.DUMMYFUNCTION("IMPORTRANGE(""https://docs.google.com/spreadsheets/d/1QqKyyYR6Q21VydFLVH3TRQUabQu_ym0Zz7PgGX0-kHA/edit?usp=sharing"",""แผน!IH32"")"),0)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IFERROR(__xludf.DUMMYFUNCTION("IMPORTRANGE(""https://docs.google.com/spreadsheets/d/1QqKyyYR6Q21VydFLVH3TRQUabQu_ym0Zz7PgGX0-kHA/edit?usp=sharing"",""แผน!IJ32"")"),3)</f>
        <v>3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IFERROR(__xludf.DUMMYFUNCTION("IMPORTRANGE(""https://docs.google.com/spreadsheets/d/1QqKyyYR6Q21VydFLVH3TRQUabQu_ym0Zz7PgGX0-kHA/edit?usp=sharing"",""แผน!IK32"")"),2)</f>
        <v>2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IFERROR(__xludf.DUMMYFUNCTION("IMPORTRANGE(""https://docs.google.com/spreadsheets/d/1XWAQStnk-4SwqDmLtmXYiTMKHgktTP8We1SCoS47DrQ/edit?usp=sharing"",""จัดที่ดิน!BN32"")"),0)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IFERROR(__xludf.DUMMYFUNCTION("IMPORTRANGE(""https://docs.google.com/spreadsheets/d/1QqKyyYR6Q21VydFLVH3TRQUabQu_ym0Zz7PgGX0-kHA/edit?usp=sharing"",""แผน!IP32"")"),0)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335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IFERROR(__xludf.DUMMYFUNCTION("IMPORTRANGE(""https://docs.google.com/spreadsheets/d/19vJNZY_5yjcGF2XGBMNZRCAIB0Kwfpjp8YEOfu-bneM/edit?usp=sharing"",""งานกองทุน!F32"")"),1086697.51)</f>
        <v>1086697.51</v>
      </c>
      <c r="K821" s="497">
        <f t="shared" ref="K821:K828" ca="1" si="335">IF(I821&gt;0,J821*100/I821,0)</f>
        <v>28.854207929612798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IFERROR(__xludf.DUMMYFUNCTION("IMPORTRANGE(""https://docs.google.com/spreadsheets/d/19vJNZY_5yjcGF2XGBMNZRCAIB0Kwfpjp8YEOfu-bneM/edit?usp=sharing"",""งานกองทุน!E32"")"),65)</f>
        <v>65</v>
      </c>
      <c r="K822" s="497">
        <f t="shared" ca="1" si="335"/>
        <v>26.315789473684209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IFERROR(__xludf.DUMMYFUNCTION("IMPORTRANGE(""https://docs.google.com/spreadsheets/d/19vJNZY_5yjcGF2XGBMNZRCAIB0Kwfpjp8YEOfu-bneM/edit?usp=sharing"",""งานกองทุน!K32"")"),838177.91)</f>
        <v>838177.91</v>
      </c>
      <c r="K823" s="497">
        <f t="shared" ca="1" si="335"/>
        <v>8.2232617986259982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IFERROR(__xludf.DUMMYFUNCTION("IMPORTRANGE(""https://docs.google.com/spreadsheets/d/19vJNZY_5yjcGF2XGBMNZRCAIB0Kwfpjp8YEOfu-bneM/edit?usp=sharing"",""งานกองทุน!J32"")"),109)</f>
        <v>109</v>
      </c>
      <c r="K824" s="497">
        <f t="shared" ca="1" si="335"/>
        <v>22.33606557377049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IFERROR(__xludf.DUMMYFUNCTION("IMPORTRANGE(""https://docs.google.com/spreadsheets/d/19vJNZY_5yjcGF2XGBMNZRCAIB0Kwfpjp8YEOfu-bneM/edit?usp=sharing"",""งานกองทุน!P32"")"),179644.91)</f>
        <v>179644.91</v>
      </c>
      <c r="K825" s="497">
        <f t="shared" ca="1" si="335"/>
        <v>7.1088444666756185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IFERROR(__xludf.DUMMYFUNCTION("IMPORTRANGE(""https://docs.google.com/spreadsheets/d/19vJNZY_5yjcGF2XGBMNZRCAIB0Kwfpjp8YEOfu-bneM/edit?usp=sharing"",""งานกองทุน!O32"")"),63)</f>
        <v>63</v>
      </c>
      <c r="K826" s="497">
        <f t="shared" ca="1" si="335"/>
        <v>34.054054054054056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IFERROR(__xludf.DUMMYFUNCTION("IMPORTRANGE(""https://docs.google.com/spreadsheets/d/19vJNZY_5yjcGF2XGBMNZRCAIB0Kwfpjp8YEOfu-bneM/edit?usp=sharing"",""งานกองทุน!U32"")"),1545000)</f>
        <v>1545000</v>
      </c>
      <c r="K827" s="497">
        <f t="shared" ca="1" si="335"/>
        <v>26.963350785340314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IFERROR(__xludf.DUMMYFUNCTION("IMPORTRANGE(""https://docs.google.com/spreadsheets/d/19vJNZY_5yjcGF2XGBMNZRCAIB0Kwfpjp8YEOfu-bneM/edit?usp=sharing"",""งานกองทุน!R32"")"),229)</f>
        <v>229</v>
      </c>
      <c r="J828" s="500">
        <f ca="1">IFERROR(__xludf.DUMMYFUNCTION("IMPORTRANGE(""https://docs.google.com/spreadsheets/d/19vJNZY_5yjcGF2XGBMNZRCAIB0Kwfpjp8YEOfu-bneM/edit?usp=sharing"",""งานกองทุน!T32"")"),41)</f>
        <v>41</v>
      </c>
      <c r="K828" s="501">
        <f t="shared" ca="1" si="335"/>
        <v>17.903930131004365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17969-D8FA-43AB-8843-69A66E6001A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356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4143896</v>
      </c>
      <c r="N8" s="22">
        <f t="shared" ca="1" si="0"/>
        <v>3636326.0700000003</v>
      </c>
      <c r="O8" s="22">
        <f t="shared" ref="O8:O16" ca="1" si="1">IF(L8&gt;0,N8*100/L8,0)</f>
        <v>36.636599038103483</v>
      </c>
      <c r="P8" s="22">
        <f t="shared" ref="P8:P16" ca="1" si="2">IF(M8&gt;0,N8*100/M8,0)</f>
        <v>87.751383480666505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4143896</v>
      </c>
      <c r="N10" s="30">
        <f t="shared" ca="1" si="3"/>
        <v>3636326.0700000003</v>
      </c>
      <c r="O10" s="30">
        <f t="shared" ca="1" si="1"/>
        <v>36.636599038103483</v>
      </c>
      <c r="P10" s="30">
        <f t="shared" ca="1" si="2"/>
        <v>87.751383480666505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9751992</v>
      </c>
      <c r="M11" s="497">
        <f t="shared" ca="1" si="4"/>
        <v>3970496</v>
      </c>
      <c r="N11" s="497">
        <f t="shared" ca="1" si="4"/>
        <v>3462926.0700000003</v>
      </c>
      <c r="O11" s="497">
        <f t="shared" ca="1" si="1"/>
        <v>35.509935508560716</v>
      </c>
      <c r="P11" s="497">
        <f t="shared" ca="1" si="2"/>
        <v>87.216460361627369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9751992</v>
      </c>
      <c r="M13" s="93">
        <f t="shared" ca="1" si="5"/>
        <v>3970496</v>
      </c>
      <c r="N13" s="93">
        <f t="shared" ca="1" si="5"/>
        <v>3462926.0700000003</v>
      </c>
      <c r="O13" s="93">
        <f t="shared" ca="1" si="1"/>
        <v>35.509935508560716</v>
      </c>
      <c r="P13" s="93">
        <f t="shared" ca="1" si="2"/>
        <v>87.216460361627369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4143896</v>
      </c>
      <c r="N18" s="22">
        <f t="shared" ca="1" si="8"/>
        <v>2623240.02</v>
      </c>
      <c r="O18" s="22">
        <f t="shared" ref="O18:O26" ca="1" si="9">IF(L18&gt;0,N18*100/L18,0)</f>
        <v>43.951654922444909</v>
      </c>
      <c r="P18" s="22">
        <f t="shared" ref="P18:P26" ca="1" si="10">IF(M18&gt;0,N18*100/M18,0)</f>
        <v>63.303712737964467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4143896</v>
      </c>
      <c r="N20" s="30">
        <f t="shared" ca="1" si="11"/>
        <v>2623240.02</v>
      </c>
      <c r="O20" s="30">
        <f t="shared" ca="1" si="9"/>
        <v>43.951654922444909</v>
      </c>
      <c r="P20" s="30">
        <f t="shared" ca="1" si="10"/>
        <v>63.303712737964467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3970496</v>
      </c>
      <c r="N21" s="497">
        <f t="shared" ca="1" si="12"/>
        <v>2449840.02</v>
      </c>
      <c r="O21" s="497">
        <f t="shared" ca="1" si="9"/>
        <v>42.274576290489826</v>
      </c>
      <c r="P21" s="497">
        <f t="shared" ca="1" si="10"/>
        <v>61.701107871661371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5795067</v>
      </c>
      <c r="M23" s="93">
        <f t="shared" ca="1" si="13"/>
        <v>3970496</v>
      </c>
      <c r="N23" s="93">
        <f t="shared" ca="1" si="13"/>
        <v>2449840.02</v>
      </c>
      <c r="O23" s="93">
        <f t="shared" ca="1" si="9"/>
        <v>42.274576290489826</v>
      </c>
      <c r="P23" s="93">
        <f t="shared" ca="1" si="10"/>
        <v>61.701107871661371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si="16"/>
        <v>0</v>
      </c>
      <c r="N28" s="22">
        <f t="shared" si="16"/>
        <v>1013086.05</v>
      </c>
      <c r="O28" s="22">
        <f t="shared" ref="O28:O37" ca="1" si="17">IF(L28&gt;0,N28*100/L28,0)</f>
        <v>25.602862070926289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si="19"/>
        <v>0</v>
      </c>
      <c r="N30" s="30">
        <f t="shared" si="19"/>
        <v>1013086.05</v>
      </c>
      <c r="O30" s="30">
        <f t="shared" ca="1" si="17"/>
        <v>25.602862070926289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3956925</v>
      </c>
      <c r="M31" s="497">
        <f t="shared" si="20"/>
        <v>0</v>
      </c>
      <c r="N31" s="497">
        <f t="shared" si="20"/>
        <v>1013086.05</v>
      </c>
      <c r="O31" s="497">
        <f t="shared" ca="1" si="17"/>
        <v>25.602862070926289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3956925</v>
      </c>
      <c r="M33" s="93">
        <f t="shared" si="21"/>
        <v>0</v>
      </c>
      <c r="N33" s="93">
        <f t="shared" si="21"/>
        <v>1013086.05</v>
      </c>
      <c r="O33" s="93">
        <f t="shared" ca="1" si="17"/>
        <v>25.602862070926289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5968467</v>
      </c>
      <c r="M37" s="843">
        <f t="shared" ca="1" si="24"/>
        <v>4143896</v>
      </c>
      <c r="N37" s="843">
        <f t="shared" ca="1" si="24"/>
        <v>2623240.02</v>
      </c>
      <c r="O37" s="843">
        <f t="shared" ca="1" si="17"/>
        <v>43.951654922444909</v>
      </c>
      <c r="P37" s="843">
        <f t="shared" ca="1" si="18"/>
        <v>63.303712737964467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703114</v>
      </c>
      <c r="N41" s="85">
        <f t="shared" ca="1" si="25"/>
        <v>281000</v>
      </c>
      <c r="O41" s="85">
        <f t="shared" ref="O41:O49" ca="1" si="26">IF(L41&gt;0,N41*100/L41,0)</f>
        <v>40.680890983898472</v>
      </c>
      <c r="P41" s="85">
        <f t="shared" ref="P41:P49" ca="1" si="27">IF(M41&gt;0,N41*100/M41,0)</f>
        <v>39.965069675756702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703114</v>
      </c>
      <c r="N43" s="92">
        <f t="shared" ca="1" si="28"/>
        <v>281000</v>
      </c>
      <c r="O43" s="92">
        <f t="shared" ca="1" si="26"/>
        <v>40.680890983898472</v>
      </c>
      <c r="P43" s="92">
        <f t="shared" ca="1" si="27"/>
        <v>39.965069675756702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703114</v>
      </c>
      <c r="N44" s="497">
        <f t="shared" ca="1" si="29"/>
        <v>281000</v>
      </c>
      <c r="O44" s="497">
        <f t="shared" ca="1" si="26"/>
        <v>40.680890983898472</v>
      </c>
      <c r="P44" s="497">
        <f t="shared" ca="1" si="27"/>
        <v>39.965069675756702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IFERROR(__xludf.DUMMYFUNCTION("IMPORTRANGE(""https://docs.google.com/spreadsheets/d/1MeEWN-I1oV_STSDYn1IFDPWt_1FKiwhDph83XaGc0o0/edit?usp=sharing"",""งบพรบ!R50"")"),703114)</f>
        <v>703114</v>
      </c>
      <c r="N46" s="93">
        <f ca="1">IFERROR(__xludf.DUMMYFUNCTION("IMPORTRANGE(""https://docs.google.com/spreadsheets/d/1MeEWN-I1oV_STSDYn1IFDPWt_1FKiwhDph83XaGc0o0/edit?usp=sharing"",""งบพรบ!T50"")"),281000)</f>
        <v>281000</v>
      </c>
      <c r="O46" s="93">
        <f t="shared" ca="1" si="26"/>
        <v>40.680890983898472</v>
      </c>
      <c r="P46" s="93">
        <f t="shared" ca="1" si="27"/>
        <v>39.965069675756702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637725</v>
      </c>
      <c r="N53" s="116">
        <f t="shared" ca="1" si="31"/>
        <v>335705.64</v>
      </c>
      <c r="O53" s="116">
        <f t="shared" ref="O53:O61" ca="1" si="32">IF(L53&gt;0,N53*100/L53,0)</f>
        <v>39.480846759967072</v>
      </c>
      <c r="P53" s="116">
        <f t="shared" ref="P53:P61" ca="1" si="33">IF(M53&gt;0,N53*100/M53,0)</f>
        <v>52.641129013289429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637725</v>
      </c>
      <c r="N55" s="123">
        <f t="shared" ca="1" si="34"/>
        <v>335705.64</v>
      </c>
      <c r="O55" s="123">
        <f t="shared" ca="1" si="32"/>
        <v>39.480846759967072</v>
      </c>
      <c r="P55" s="123">
        <f t="shared" ca="1" si="33"/>
        <v>52.641129013289429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637725</v>
      </c>
      <c r="N56" s="497">
        <f t="shared" ca="1" si="35"/>
        <v>335705.64</v>
      </c>
      <c r="O56" s="497">
        <f t="shared" ca="1" si="32"/>
        <v>39.480846759967072</v>
      </c>
      <c r="P56" s="497">
        <f t="shared" ca="1" si="33"/>
        <v>52.641129013289429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IFERROR(__xludf.DUMMYFUNCTION("IMPORTRANGE(""https://docs.google.com/spreadsheets/d/1MeEWN-I1oV_STSDYn1IFDPWt_1FKiwhDph83XaGc0o0/edit?usp=sharing"",""งบพรบ!AB50"")"),637725)</f>
        <v>637725</v>
      </c>
      <c r="N58" s="93">
        <f ca="1">IFERROR(__xludf.DUMMYFUNCTION("IMPORTRANGE(""https://docs.google.com/spreadsheets/d/1MeEWN-I1oV_STSDYn1IFDPWt_1FKiwhDph83XaGc0o0/edit?usp=sharing"",""งบพรบ!AD50"")"),335705.64)</f>
        <v>335705.64</v>
      </c>
      <c r="O58" s="93">
        <f t="shared" ca="1" si="32"/>
        <v>39.480846759967072</v>
      </c>
      <c r="P58" s="93">
        <f t="shared" ca="1" si="33"/>
        <v>52.641129013289429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IFERROR(__xludf.DUMMYFUNCTION("IMPORTRANGE(""https://docs.google.com/spreadsheets/d/1MeEWN-I1oV_STSDYn1IFDPWt_1FKiwhDph83XaGc0o0/edit?usp=sharing"",""งบพรบ!AC50"")"),0)</f>
        <v>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40</v>
      </c>
      <c r="K65" s="145">
        <f t="shared" ca="1" si="38"/>
        <v>57.142857142857146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636650</v>
      </c>
      <c r="N66" s="155">
        <f t="shared" ca="1" si="39"/>
        <v>454087.82</v>
      </c>
      <c r="O66" s="155">
        <f t="shared" ref="O66:O74" ca="1" si="40">IF(L66&gt;0,N66*100/L66,0)</f>
        <v>42.064642890226956</v>
      </c>
      <c r="P66" s="155">
        <f t="shared" ref="P66:P74" ca="1" si="41">IF(M66&gt;0,N66*100/M66,0)</f>
        <v>71.324561375952257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1079500</v>
      </c>
      <c r="M68" s="93">
        <f t="shared" ca="1" si="42"/>
        <v>636650</v>
      </c>
      <c r="N68" s="93">
        <f t="shared" ca="1" si="42"/>
        <v>454087.82</v>
      </c>
      <c r="O68" s="93">
        <f t="shared" ca="1" si="40"/>
        <v>42.064642890226956</v>
      </c>
      <c r="P68" s="93">
        <f t="shared" ca="1" si="41"/>
        <v>71.324561375952257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636650</v>
      </c>
      <c r="N69" s="497">
        <f t="shared" ca="1" si="43"/>
        <v>454087.82</v>
      </c>
      <c r="O69" s="497">
        <f t="shared" ca="1" si="40"/>
        <v>42.064642890226956</v>
      </c>
      <c r="P69" s="497">
        <f t="shared" ca="1" si="41"/>
        <v>71.324561375952257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IFERROR(__xludf.DUMMYFUNCTION("IMPORTRANGE(""https://docs.google.com/spreadsheets/d/1MeEWN-I1oV_STSDYn1IFDPWt_1FKiwhDph83XaGc0o0/edit?usp=sharing"",""งบพรบ!AL50"")"),636650)</f>
        <v>636650</v>
      </c>
      <c r="N71" s="93">
        <f ca="1">IFERROR(__xludf.DUMMYFUNCTION("IMPORTRANGE(""https://docs.google.com/spreadsheets/d/1MeEWN-I1oV_STSDYn1IFDPWt_1FKiwhDph83XaGc0o0/edit?usp=sharing"",""งบพรบ!AN50"")"),454087.82)</f>
        <v>454087.82</v>
      </c>
      <c r="O71" s="93">
        <f t="shared" ca="1" si="40"/>
        <v>42.064642890226956</v>
      </c>
      <c r="P71" s="93">
        <f t="shared" ca="1" si="41"/>
        <v>71.324561375952257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40</v>
      </c>
      <c r="K77" s="163">
        <f t="shared" ca="1" si="46"/>
        <v>57.142857142857146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40</v>
      </c>
      <c r="K81" s="163">
        <f t="shared" ca="1" si="46"/>
        <v>57.142857142857146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79140</v>
      </c>
      <c r="N88" s="155">
        <f t="shared" ca="1" si="49"/>
        <v>35340</v>
      </c>
      <c r="O88" s="155">
        <f t="shared" ref="O88:O96" ca="1" si="50">IF(L88&gt;0,N88*100/L88,0)</f>
        <v>41.169617893755827</v>
      </c>
      <c r="P88" s="155">
        <f t="shared" ref="P88:P96" ca="1" si="51">IF(M88&gt;0,N88*100/M88,0)</f>
        <v>44.655041698256255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85840</v>
      </c>
      <c r="M90" s="93">
        <f t="shared" ca="1" si="52"/>
        <v>79140</v>
      </c>
      <c r="N90" s="93">
        <f t="shared" ca="1" si="52"/>
        <v>35340</v>
      </c>
      <c r="O90" s="93">
        <f t="shared" ca="1" si="50"/>
        <v>41.169617893755827</v>
      </c>
      <c r="P90" s="93">
        <f t="shared" ca="1" si="51"/>
        <v>44.655041698256255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79140</v>
      </c>
      <c r="N91" s="497">
        <f t="shared" ca="1" si="53"/>
        <v>35340</v>
      </c>
      <c r="O91" s="497">
        <f t="shared" ca="1" si="50"/>
        <v>41.169617893755827</v>
      </c>
      <c r="P91" s="497">
        <f t="shared" ca="1" si="51"/>
        <v>44.655041698256255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IFERROR(__xludf.DUMMYFUNCTION("IMPORTRANGE(""https://docs.google.com/spreadsheets/d/1MeEWN-I1oV_STSDYn1IFDPWt_1FKiwhDph83XaGc0o0/edit?usp=sharing"",""งบพรบ!AV50"")"),79140)</f>
        <v>79140</v>
      </c>
      <c r="N93" s="93">
        <f ca="1">IFERROR(__xludf.DUMMYFUNCTION("IMPORTRANGE(""https://docs.google.com/spreadsheets/d/1MeEWN-I1oV_STSDYn1IFDPWt_1FKiwhDph83XaGc0o0/edit?usp=sharing"",""งบพรบ!AX50"")"),35340)</f>
        <v>35340</v>
      </c>
      <c r="O93" s="93">
        <f t="shared" ca="1" si="50"/>
        <v>41.169617893755827</v>
      </c>
      <c r="P93" s="93">
        <f t="shared" ca="1" si="51"/>
        <v>44.655041698256255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33</v>
      </c>
      <c r="K148" s="145">
        <f ca="1">IF(I148&gt;0,J148*100/I148,0)</f>
        <v>165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17600</v>
      </c>
      <c r="O149" s="155">
        <f t="shared" ref="O149:O157" ca="1" si="78">IF(L149&gt;0,N149*100/L149,0)</f>
        <v>176</v>
      </c>
      <c r="P149" s="155">
        <f t="shared" ref="P149:P157" ca="1" si="79">IF(M149&gt;0,N149*100/M149,0)</f>
        <v>75.021312872975273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17600</v>
      </c>
      <c r="O151" s="93">
        <f t="shared" ca="1" si="78"/>
        <v>176</v>
      </c>
      <c r="P151" s="93">
        <f t="shared" ca="1" si="79"/>
        <v>75.021312872975273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17600</v>
      </c>
      <c r="O152" s="497">
        <f t="shared" ca="1" si="78"/>
        <v>176</v>
      </c>
      <c r="P152" s="497">
        <f t="shared" ca="1" si="79"/>
        <v>75.021312872975273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IFERROR(__xludf.DUMMYFUNCTION("IMPORTRANGE(""https://docs.google.com/spreadsheets/d/1MeEWN-I1oV_STSDYn1IFDPWt_1FKiwhDph83XaGc0o0/edit?usp=sharing"",""งบพรบ!CB50"")"),17600)</f>
        <v>17600</v>
      </c>
      <c r="O154" s="93">
        <f t="shared" ca="1" si="78"/>
        <v>176</v>
      </c>
      <c r="P154" s="93">
        <f t="shared" ca="1" si="79"/>
        <v>75.021312872975273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33</v>
      </c>
      <c r="K159" s="497">
        <f ca="1">IF(I159&gt;0,J159*100/I159,0)</f>
        <v>165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88500</v>
      </c>
      <c r="N181" s="155">
        <f t="shared" ca="1" si="92"/>
        <v>53680</v>
      </c>
      <c r="O181" s="155">
        <f t="shared" ref="O181:O189" ca="1" si="93">IF(L181&gt;0,N181*100/L181,0)</f>
        <v>57.411764705882355</v>
      </c>
      <c r="P181" s="155">
        <f t="shared" ref="P181:P189" ca="1" si="94">IF(M181&gt;0,N181*100/M181,0)</f>
        <v>60.655367231638415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93500</v>
      </c>
      <c r="M183" s="93">
        <f t="shared" ca="1" si="95"/>
        <v>88500</v>
      </c>
      <c r="N183" s="93">
        <f t="shared" ca="1" si="95"/>
        <v>53680</v>
      </c>
      <c r="O183" s="93">
        <f t="shared" ca="1" si="93"/>
        <v>57.411764705882355</v>
      </c>
      <c r="P183" s="93">
        <f t="shared" ca="1" si="94"/>
        <v>60.655367231638415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88500</v>
      </c>
      <c r="N184" s="497">
        <f t="shared" ca="1" si="96"/>
        <v>53680</v>
      </c>
      <c r="O184" s="497">
        <f t="shared" ca="1" si="93"/>
        <v>57.411764705882355</v>
      </c>
      <c r="P184" s="497">
        <f t="shared" ca="1" si="94"/>
        <v>60.655367231638415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IFERROR(__xludf.DUMMYFUNCTION("IMPORTRANGE(""https://docs.google.com/spreadsheets/d/1MeEWN-I1oV_STSDYn1IFDPWt_1FKiwhDph83XaGc0o0/edit?usp=sharing"",""งบพรบ!CT50"")"),88500)</f>
        <v>88500</v>
      </c>
      <c r="N186" s="93">
        <f ca="1">IFERROR(__xludf.DUMMYFUNCTION("IMPORTRANGE(""https://docs.google.com/spreadsheets/d/1MeEWN-I1oV_STSDYn1IFDPWt_1FKiwhDph83XaGc0o0/edit?usp=sharing"",""งบพรบ!CV50"")"),53680)</f>
        <v>53680</v>
      </c>
      <c r="O186" s="93">
        <f t="shared" ca="1" si="93"/>
        <v>57.411764705882355</v>
      </c>
      <c r="P186" s="93">
        <f t="shared" ca="1" si="94"/>
        <v>60.655367231638415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154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4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4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26680</v>
      </c>
      <c r="O209" s="155">
        <f ca="1">IF(L209&gt;0,N209*100/L209,0)</f>
        <v>63.523809523809526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4">
        <v>2680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4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22000</v>
      </c>
      <c r="N261" s="155">
        <f t="shared" ca="1" si="116"/>
        <v>17116</v>
      </c>
      <c r="O261" s="155">
        <f t="shared" ref="O261:O269" ca="1" si="117">IF(L261&gt;0,N261*100/L261,0)</f>
        <v>68.463999999999999</v>
      </c>
      <c r="P261" s="155">
        <f t="shared" ref="P261:P269" ca="1" si="118">IF(M261&gt;0,N261*100/M261,0)</f>
        <v>77.8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25000</v>
      </c>
      <c r="M263" s="93">
        <f t="shared" ca="1" si="119"/>
        <v>22000</v>
      </c>
      <c r="N263" s="93">
        <f t="shared" ca="1" si="119"/>
        <v>17116</v>
      </c>
      <c r="O263" s="93">
        <f t="shared" ca="1" si="117"/>
        <v>68.463999999999999</v>
      </c>
      <c r="P263" s="93">
        <f t="shared" ca="1" si="118"/>
        <v>77.8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22000</v>
      </c>
      <c r="N264" s="497">
        <f t="shared" ca="1" si="120"/>
        <v>17116</v>
      </c>
      <c r="O264" s="497">
        <f t="shared" ca="1" si="117"/>
        <v>68.463999999999999</v>
      </c>
      <c r="P264" s="497">
        <f t="shared" ca="1" si="118"/>
        <v>77.8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IFERROR(__xludf.DUMMYFUNCTION("IMPORTRANGE(""https://docs.google.com/spreadsheets/d/1MeEWN-I1oV_STSDYn1IFDPWt_1FKiwhDph83XaGc0o0/edit?usp=sharing"",""งบพรบ!DD50"")"),22000)</f>
        <v>22000</v>
      </c>
      <c r="N266" s="93">
        <f ca="1">IFERROR(__xludf.DUMMYFUNCTION("IMPORTRANGE(""https://docs.google.com/spreadsheets/d/1MeEWN-I1oV_STSDYn1IFDPWt_1FKiwhDph83XaGc0o0/edit?usp=sharing"",""งบพรบ!DF50"")"),17116)</f>
        <v>17116</v>
      </c>
      <c r="O266" s="93">
        <f t="shared" ca="1" si="117"/>
        <v>68.463999999999999</v>
      </c>
      <c r="P266" s="93">
        <f t="shared" ca="1" si="118"/>
        <v>77.8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500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86110</v>
      </c>
      <c r="N277" s="155">
        <f t="shared" ca="1" si="125"/>
        <v>66317</v>
      </c>
      <c r="O277" s="155">
        <f t="shared" ref="O277:O285" ca="1" si="126">IF(L277&gt;0,N277*100/L277,0)</f>
        <v>36.556419161016485</v>
      </c>
      <c r="P277" s="155">
        <f t="shared" ref="P277:P285" ca="1" si="127">IF(M277&gt;0,N277*100/M277,0)</f>
        <v>77.014284055278139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181410</v>
      </c>
      <c r="M279" s="93">
        <f t="shared" ca="1" si="128"/>
        <v>86110</v>
      </c>
      <c r="N279" s="93">
        <f t="shared" ca="1" si="128"/>
        <v>66317</v>
      </c>
      <c r="O279" s="93">
        <f t="shared" ca="1" si="126"/>
        <v>36.556419161016485</v>
      </c>
      <c r="P279" s="93">
        <f t="shared" ca="1" si="127"/>
        <v>77.014284055278139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86110</v>
      </c>
      <c r="N280" s="497">
        <f t="shared" ca="1" si="129"/>
        <v>66317</v>
      </c>
      <c r="O280" s="497">
        <f t="shared" ca="1" si="126"/>
        <v>36.556419161016485</v>
      </c>
      <c r="P280" s="497">
        <f t="shared" ca="1" si="127"/>
        <v>77.014284055278139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IFERROR(__xludf.DUMMYFUNCTION("IMPORTRANGE(""https://docs.google.com/spreadsheets/d/1MeEWN-I1oV_STSDYn1IFDPWt_1FKiwhDph83XaGc0o0/edit?usp=sharing"",""งบพรบ!DN50"")"),86110)</f>
        <v>86110</v>
      </c>
      <c r="N282" s="93">
        <f ca="1">IFERROR(__xludf.DUMMYFUNCTION("IMPORTRANGE(""https://docs.google.com/spreadsheets/d/1MeEWN-I1oV_STSDYn1IFDPWt_1FKiwhDph83XaGc0o0/edit?usp=sharing"",""งบพรบ!DP50"")"),66317)</f>
        <v>66317</v>
      </c>
      <c r="O282" s="93">
        <f t="shared" ca="1" si="126"/>
        <v>36.556419161016485</v>
      </c>
      <c r="P282" s="93">
        <f t="shared" ca="1" si="127"/>
        <v>77.014284055278139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IFERROR(__xludf.DUMMYFUNCTION("IMPORTRANGE(""https://docs.google.com/spreadsheets/d/1QqKyyYR6Q21VydFLVH3TRQUabQu_ym0Zz7PgGX0-kHA/edit?usp=sharing"",""แผน!EB50"")"),50)</f>
        <v>50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47830</v>
      </c>
      <c r="O298" s="155">
        <f t="shared" ref="O298:O306" ca="1" si="136">IF(L298&gt;0,N298*100/L298,0)</f>
        <v>58.046116504854368</v>
      </c>
      <c r="P298" s="155">
        <f t="shared" ref="P298:P306" ca="1" si="137">IF(M298&gt;0,N298*100/M298,0)</f>
        <v>97.373778501628664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47830</v>
      </c>
      <c r="O300" s="93">
        <f t="shared" ca="1" si="136"/>
        <v>58.046116504854368</v>
      </c>
      <c r="P300" s="93">
        <f t="shared" ca="1" si="137"/>
        <v>97.373778501628664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47830</v>
      </c>
      <c r="O301" s="497">
        <f t="shared" ca="1" si="136"/>
        <v>58.046116504854368</v>
      </c>
      <c r="P301" s="497">
        <f t="shared" ca="1" si="137"/>
        <v>97.373778501628664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IFERROR(__xludf.DUMMYFUNCTION("IMPORTRANGE(""https://docs.google.com/spreadsheets/d/1MeEWN-I1oV_STSDYn1IFDPWt_1FKiwhDph83XaGc0o0/edit?usp=sharing"",""งบพรบ!DX50"")"),49120)</f>
        <v>49120</v>
      </c>
      <c r="N303" s="93">
        <f ca="1">IFERROR(__xludf.DUMMYFUNCTION("IMPORTRANGE(""https://docs.google.com/spreadsheets/d/1MeEWN-I1oV_STSDYn1IFDPWt_1FKiwhDph83XaGc0o0/edit?usp=sharing"",""งบพรบ!DZ50"")"),47830)</f>
        <v>47830</v>
      </c>
      <c r="O303" s="93">
        <f t="shared" ca="1" si="136"/>
        <v>58.046116504854368</v>
      </c>
      <c r="P303" s="93">
        <f t="shared" ca="1" si="137"/>
        <v>97.373778501628664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7606</v>
      </c>
      <c r="K327" s="445">
        <f ca="1">IF(I327&gt;0,J327*100/I327,0)</f>
        <v>86.431818181818187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96000</v>
      </c>
      <c r="N328" s="155">
        <f t="shared" ca="1" si="149"/>
        <v>50240</v>
      </c>
      <c r="O328" s="155">
        <f t="shared" ref="O328:O336" ca="1" si="150">IF(L328&gt;0,N328*100/L328,0)</f>
        <v>26.166666666666668</v>
      </c>
      <c r="P328" s="155">
        <f t="shared" ref="P328:P336" ca="1" si="151">IF(M328&gt;0,N328*100/M328,0)</f>
        <v>52.333333333333336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192000</v>
      </c>
      <c r="M330" s="93">
        <f t="shared" ca="1" si="152"/>
        <v>96000</v>
      </c>
      <c r="N330" s="93">
        <f t="shared" ca="1" si="152"/>
        <v>50240</v>
      </c>
      <c r="O330" s="93">
        <f t="shared" ca="1" si="150"/>
        <v>26.166666666666668</v>
      </c>
      <c r="P330" s="93">
        <f t="shared" ca="1" si="151"/>
        <v>52.333333333333336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96000</v>
      </c>
      <c r="N331" s="497">
        <f t="shared" ca="1" si="153"/>
        <v>50240</v>
      </c>
      <c r="O331" s="497">
        <f t="shared" ca="1" si="150"/>
        <v>26.166666666666668</v>
      </c>
      <c r="P331" s="497">
        <f t="shared" ca="1" si="151"/>
        <v>52.333333333333336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IFERROR(__xludf.DUMMYFUNCTION("IMPORTRANGE(""https://docs.google.com/spreadsheets/d/1MeEWN-I1oV_STSDYn1IFDPWt_1FKiwhDph83XaGc0o0/edit?usp=sharing"",""งบพรบ!ER50"")"),96000)</f>
        <v>96000</v>
      </c>
      <c r="N333" s="93">
        <f ca="1">IFERROR(__xludf.DUMMYFUNCTION("IMPORTRANGE(""https://docs.google.com/spreadsheets/d/1MeEWN-I1oV_STSDYn1IFDPWt_1FKiwhDph83XaGc0o0/edit?usp=sharing"",""งบพรบ!ET50"")"),50240)</f>
        <v>50240</v>
      </c>
      <c r="O333" s="93">
        <f t="shared" ca="1" si="150"/>
        <v>26.166666666666668</v>
      </c>
      <c r="P333" s="93">
        <f t="shared" ca="1" si="151"/>
        <v>52.333333333333336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IFERROR(__xludf.DUMMYFUNCTION("IMPORTRANGE(""https://docs.google.com/spreadsheets/d/1kVcqe37tkHyjCSG3S0O1AXqVkqjo8mSIZil3BcpIysc/edit?usp=sharing"",""ศูนย์!D50"")"),7450)</f>
        <v>7450</v>
      </c>
      <c r="K338" s="497">
        <f ca="1">IF(I338&gt;0,J338*100/I338,0)</f>
        <v>84.659090909090907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IFERROR(__xludf.DUMMYFUNCTION("IMPORTRANGE(""https://docs.google.com/spreadsheets/d/1kVcqe37tkHyjCSG3S0O1AXqVkqjo8mSIZil3BcpIysc/edit?usp=sharing"",""ศูนย์!E50"")"),3)</f>
        <v>3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IFERROR(__xludf.DUMMYFUNCTION("IMPORTRANGE(""https://docs.google.com/spreadsheets/d/1kVcqe37tkHyjCSG3S0O1AXqVkqjo8mSIZil3BcpIysc/edit?usp=sharing"",""ศูนย์!F50"")"),156)</f>
        <v>156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1700022</v>
      </c>
      <c r="N345" s="155">
        <f t="shared" ca="1" si="155"/>
        <v>1242268.56</v>
      </c>
      <c r="O345" s="155">
        <f t="shared" ref="O345:O353" ca="1" si="156">IF(L345&gt;0,N345*100/L345,0)</f>
        <v>46.777090958384164</v>
      </c>
      <c r="P345" s="155">
        <f t="shared" ref="P345:P353" ca="1" si="157">IF(M345&gt;0,N345*100/M345,0)</f>
        <v>73.073675517140373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2655720</v>
      </c>
      <c r="M347" s="93">
        <f t="shared" ca="1" si="158"/>
        <v>1700022</v>
      </c>
      <c r="N347" s="93">
        <f t="shared" ca="1" si="158"/>
        <v>1242268.56</v>
      </c>
      <c r="O347" s="93">
        <f t="shared" ca="1" si="156"/>
        <v>46.777090958384164</v>
      </c>
      <c r="P347" s="93">
        <f t="shared" ca="1" si="157"/>
        <v>73.073675517140373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1526622</v>
      </c>
      <c r="N348" s="497">
        <f t="shared" ca="1" si="159"/>
        <v>1068868.56</v>
      </c>
      <c r="O348" s="497">
        <f t="shared" ca="1" si="156"/>
        <v>43.059257468819489</v>
      </c>
      <c r="P348" s="497">
        <f t="shared" ca="1" si="157"/>
        <v>70.015272935933055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IFERROR(__xludf.DUMMYFUNCTION("IMPORTRANGE(""https://docs.google.com/spreadsheets/d/1MeEWN-I1oV_STSDYn1IFDPWt_1FKiwhDph83XaGc0o0/edit?usp=sharing"",""งบพรบ!FB50"")"),1526622)</f>
        <v>1526622</v>
      </c>
      <c r="N350" s="93">
        <f ca="1">IFERROR(__xludf.DUMMYFUNCTION("IMPORTRANGE(""https://docs.google.com/spreadsheets/d/1MeEWN-I1oV_STSDYn1IFDPWt_1FKiwhDph83XaGc0o0/edit?usp=sharing"",""งบพรบ!FD50"")"),1068868.56)</f>
        <v>1068868.56</v>
      </c>
      <c r="O350" s="93">
        <f t="shared" ca="1" si="156"/>
        <v>43.059257468819489</v>
      </c>
      <c r="P350" s="93">
        <f t="shared" ca="1" si="157"/>
        <v>70.015272935933055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IFERROR(__xludf.DUMMYFUNCTION("IMPORTRANGE(""https://docs.google.com/spreadsheets/d/1QqKyyYR6Q21VydFLVH3TRQUabQu_ym0Zz7PgGX0-kHA/edit?usp=sharing"",""แผน!EP50"")"),2150)</f>
        <v>2150</v>
      </c>
      <c r="J355" s="464">
        <f ca="1">J362</f>
        <v>108</v>
      </c>
      <c r="K355" s="465">
        <f ca="1">IF(I355&gt;0,J355*100/I355,0)</f>
        <v>5.0232558139534884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IFERROR(__xludf.DUMMYFUNCTION("IMPORTRANGE(""https://docs.google.com/spreadsheets/d/1XWAQStnk-4SwqDmLtmXYiTMKHgktTP8We1SCoS47DrQ/edit?usp=sharing"",""จัดที่ดิน!W50"")"),557)</f>
        <v>557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IFERROR(__xludf.DUMMYFUNCTION("IMPORTRANGE(""https://docs.google.com/spreadsheets/d/1XWAQStnk-4SwqDmLtmXYiTMKHgktTP8We1SCoS47DrQ/edit?usp=sharing"",""จัดที่ดิน!X50"")"),5747.52)</f>
        <v>5747.52</v>
      </c>
      <c r="K359" s="497">
        <f t="shared" ca="1" si="161"/>
        <v>27.369142857142858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IFERROR(__xludf.DUMMYFUNCTION("IMPORTRANGE(""https://docs.google.com/spreadsheets/d/1QqKyyYR6Q21VydFLVH3TRQUabQu_ym0Zz7PgGX0-kHA/edit?usp=sharing"",""แผน!EP50"")"),2150)</f>
        <v>2150</v>
      </c>
      <c r="J360" s="270">
        <f ca="1">IFERROR(__xludf.DUMMYFUNCTION("IMPORTRANGE(""https://docs.google.com/spreadsheets/d/1XWAQStnk-4SwqDmLtmXYiTMKHgktTP8We1SCoS47DrQ/edit?usp=sharing"",""จัดที่ดิน!Y50"")"),521)</f>
        <v>521</v>
      </c>
      <c r="K360" s="497">
        <f t="shared" ca="1" si="161"/>
        <v>24.232558139534884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IFERROR(__xludf.DUMMYFUNCTION("IMPORTRANGE(""https://docs.google.com/spreadsheets/d/1XWAQStnk-4SwqDmLtmXYiTMKHgktTP8We1SCoS47DrQ/edit?usp=sharing"",""จัดที่ดิน!Z50"")"),6735.35)</f>
        <v>6735.35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IFERROR(__xludf.DUMMYFUNCTION("IMPORTRANGE(""https://docs.google.com/spreadsheets/d/1QqKyyYR6Q21VydFLVH3TRQUabQu_ym0Zz7PgGX0-kHA/edit?usp=sharing"",""แผน!EP50"")"),2150)</f>
        <v>2150</v>
      </c>
      <c r="J362" s="270">
        <f ca="1">IFERROR(__xludf.DUMMYFUNCTION("IMPORTRANGE(""https://docs.google.com/spreadsheets/d/1XWAQStnk-4SwqDmLtmXYiTMKHgktTP8We1SCoS47DrQ/edit?usp=sharing"",""จัดที่ดิน!AA50"")"),108)</f>
        <v>108</v>
      </c>
      <c r="K362" s="497">
        <f t="shared" ca="1" si="161"/>
        <v>5.0232558139534884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IFERROR(__xludf.DUMMYFUNCTION("IMPORTRANGE(""https://docs.google.com/spreadsheets/d/1XWAQStnk-4SwqDmLtmXYiTMKHgktTP8We1SCoS47DrQ/edit?usp=sharing"",""จัดที่ดิน!AB50"")"),871.57)</f>
        <v>871.57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397</v>
      </c>
      <c r="K364" s="479">
        <f t="shared" ca="1" si="161"/>
        <v>18.465116279069768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IFERROR(__xludf.DUMMYFUNCTION("IMPORTRANGE(""https://docs.google.com/spreadsheets/d/1XWAQStnk-4SwqDmLtmXYiTMKHgktTP8We1SCoS47DrQ/edit?usp=sharing"",""จัดที่ดิน!E50"")"),283)</f>
        <v>283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IFERROR(__xludf.DUMMYFUNCTION("IMPORTRANGE(""https://docs.google.com/spreadsheets/d/1XWAQStnk-4SwqDmLtmXYiTMKHgktTP8We1SCoS47DrQ/edit?usp=sharing"",""จัดที่ดิน!F50"")"),3239.3)</f>
        <v>3239.3</v>
      </c>
      <c r="K369" s="497">
        <f t="shared" ca="1" si="163"/>
        <v>53.988333333333337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IFERROR(__xludf.DUMMYFUNCTION("IMPORTRANGE(""https://docs.google.com/spreadsheets/d/1XWAQStnk-4SwqDmLtmXYiTMKHgktTP8We1SCoS47DrQ/edit?usp=sharing"",""จัดที่ดิน!G50"")"),163)</f>
        <v>163</v>
      </c>
      <c r="K370" s="497">
        <f t="shared" ca="1" si="163"/>
        <v>40.75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IFERROR(__xludf.DUMMYFUNCTION("IMPORTRANGE(""https://docs.google.com/spreadsheets/d/1XWAQStnk-4SwqDmLtmXYiTMKHgktTP8We1SCoS47DrQ/edit?usp=sharing"",""จัดที่ดิน!H50"")"),2105.36)</f>
        <v>2105.36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397</v>
      </c>
      <c r="K374" s="491">
        <f t="shared" ca="1" si="163"/>
        <v>22.685714285714287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IFERROR(__xludf.DUMMYFUNCTION("IMPORTRANGE(""https://docs.google.com/spreadsheets/d/1XWAQStnk-4SwqDmLtmXYiTMKHgktTP8We1SCoS47DrQ/edit?usp=sharing"",""จัดที่ดิน!AH50"")"),274)</f>
        <v>274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IFERROR(__xludf.DUMMYFUNCTION("IMPORTRANGE(""https://docs.google.com/spreadsheets/d/1XWAQStnk-4SwqDmLtmXYiTMKHgktTP8We1SCoS47DrQ/edit?usp=sharing"",""จัดที่ดิน!AI50"")"),2508.22)</f>
        <v>2508.2199999999998</v>
      </c>
      <c r="K378" s="497">
        <f t="shared" ca="1" si="164"/>
        <v>16.721466666666664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IFERROR(__xludf.DUMMYFUNCTION("IMPORTRANGE(""https://docs.google.com/spreadsheets/d/1XWAQStnk-4SwqDmLtmXYiTMKHgktTP8We1SCoS47DrQ/edit?usp=sharing"",""จัดที่ดิน!AJ50"")"),649)</f>
        <v>649</v>
      </c>
      <c r="K379" s="497">
        <f t="shared" ca="1" si="164"/>
        <v>37.085714285714289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IFERROR(__xludf.DUMMYFUNCTION("IMPORTRANGE(""https://docs.google.com/spreadsheets/d/1XWAQStnk-4SwqDmLtmXYiTMKHgktTP8We1SCoS47DrQ/edit?usp=sharing"",""จัดที่ดิน!AK50"")"),9084.25)</f>
        <v>9084.25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IFERROR(__xludf.DUMMYFUNCTION("IMPORTRANGE(""https://docs.google.com/spreadsheets/d/1XWAQStnk-4SwqDmLtmXYiTMKHgktTP8We1SCoS47DrQ/edit?usp=sharing"",""จัดที่ดิน!AL50"")"),397)</f>
        <v>397</v>
      </c>
      <c r="K381" s="497">
        <f t="shared" ca="1" si="164"/>
        <v>22.685714285714287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IFERROR(__xludf.DUMMYFUNCTION("IMPORTRANGE(""https://docs.google.com/spreadsheets/d/1XWAQStnk-4SwqDmLtmXYiTMKHgktTP8We1SCoS47DrQ/edit?usp=sharing"",""จัดที่ดิน!AM50"")"),5250.49)</f>
        <v>5250.49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IFERROR(__xludf.DUMMYFUNCTION("IMPORTRANGE(""https://docs.google.com/spreadsheets/d/1QqKyyYR6Q21VydFLVH3TRQUabQu_ym0Zz7PgGX0-kHA/edit?usp=sharing"",""แผน!EW50"")"),100)</f>
        <v>100</v>
      </c>
      <c r="J385" s="500">
        <f ca="1">IFERROR(__xludf.DUMMYFUNCTION("IMPORTRANGE(""https://docs.google.com/spreadsheets/d/1XWAQStnk-4SwqDmLtmXYiTMKHgktTP8We1SCoS47DrQ/edit?usp=sharing"",""จัดที่ดิน!AP50"")"),0)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3956925</v>
      </c>
      <c r="M414" s="548">
        <f t="shared" si="181"/>
        <v>0</v>
      </c>
      <c r="N414" s="548">
        <f t="shared" si="181"/>
        <v>1013086.05</v>
      </c>
      <c r="O414" s="548">
        <f ca="1">IF(L414&gt;0,N414*100/L414,0)</f>
        <v>25.602862070926289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15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si="184"/>
        <v>0</v>
      </c>
      <c r="N419" s="155">
        <f t="shared" si="184"/>
        <v>52583</v>
      </c>
      <c r="O419" s="155">
        <f t="shared" ref="O419:O424" ca="1" si="185">IF(L419&gt;0,N419*100/L419,0)</f>
        <v>77.831557134399048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67560</v>
      </c>
      <c r="M421" s="93">
        <f t="shared" si="187"/>
        <v>0</v>
      </c>
      <c r="N421" s="93">
        <f t="shared" si="187"/>
        <v>52583</v>
      </c>
      <c r="O421" s="93">
        <f t="shared" ca="1" si="185"/>
        <v>77.831557134399048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si="188"/>
        <v>0</v>
      </c>
      <c r="N422" s="497">
        <f t="shared" si="188"/>
        <v>52583</v>
      </c>
      <c r="O422" s="497">
        <f t="shared" ca="1" si="185"/>
        <v>77.831557134399048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v>0</v>
      </c>
      <c r="N424" s="93">
        <f>N425+N426+N427+N428</f>
        <v>52583</v>
      </c>
      <c r="O424" s="93">
        <f t="shared" ca="1" si="185"/>
        <v>77.831557134399048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37073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f>300+4250+10960</f>
        <v>15510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IFERROR(__xludf.DUMMYFUNCTION("IMPORTRANGE(""https://docs.google.com/spreadsheets/d/1QqKyyYR6Q21VydFLVH3TRQUabQu_ym0Zz7PgGX0-kHA/edit?usp=sharing"",""แผน!FC50"")"),15)</f>
        <v>15</v>
      </c>
      <c r="J435" s="578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IFERROR(__xludf.DUMMYFUNCTION("IMPORTRANGE(""https://docs.google.com/spreadsheets/d/1QqKyyYR6Q21VydFLVH3TRQUabQu_ym0Zz7PgGX0-kHA/edit?usp=sharing"",""แผน!FD50"")"),0)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IFERROR(__xludf.DUMMYFUNCTION("IMPORTRANGE(""https://docs.google.com/spreadsheets/d/1QqKyyYR6Q21VydFLVH3TRQUabQu_ym0Zz7PgGX0-kHA/edit?usp=sharing"",""แผน!FF50"")"),15)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140</v>
      </c>
      <c r="J442" s="584">
        <f t="shared" si="195"/>
        <v>140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660</v>
      </c>
      <c r="J443" s="564">
        <f t="shared" si="196"/>
        <v>660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si="197"/>
        <v>0</v>
      </c>
      <c r="N444" s="195">
        <f t="shared" si="197"/>
        <v>217184</v>
      </c>
      <c r="O444" s="195">
        <f t="shared" ref="O444:O449" ca="1" si="198">IF(L444&gt;0,N444*100/L444,0)</f>
        <v>20.8054565658888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1043880</v>
      </c>
      <c r="M446" s="93">
        <f t="shared" si="200"/>
        <v>0</v>
      </c>
      <c r="N446" s="93">
        <f t="shared" si="200"/>
        <v>217184</v>
      </c>
      <c r="O446" s="93">
        <f t="shared" ca="1" si="198"/>
        <v>20.8054565658888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si="201"/>
        <v>0</v>
      </c>
      <c r="N447" s="497">
        <f t="shared" si="201"/>
        <v>217184</v>
      </c>
      <c r="O447" s="497">
        <f t="shared" ca="1" si="198"/>
        <v>20.8054565658888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v>0</v>
      </c>
      <c r="N449" s="93">
        <f>N450+N451+N452+N453</f>
        <v>217184</v>
      </c>
      <c r="O449" s="93">
        <f t="shared" ca="1" si="198"/>
        <v>20.8054565658888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130774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52000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f>23220+1290+8000+1900</f>
        <v>34410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IFERROR(__xludf.DUMMYFUNCTION("IMPORTRANGE(""https://docs.google.com/spreadsheets/d/1QqKyyYR6Q21VydFLVH3TRQUabQu_ym0Zz7PgGX0-kHA/edit?usp=sharing"",""แผน!FX50"")"),131)</f>
        <v>131</v>
      </c>
      <c r="J465" s="584">
        <f>J485+J489+J492</f>
        <v>20</v>
      </c>
      <c r="K465" s="585">
        <f t="shared" ref="K465:K466" ca="1" si="205">IF(I465&gt;0,J465*100/I465,0)</f>
        <v>15.267175572519085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IFERROR(__xludf.DUMMYFUNCTION("IMPORTRANGE(""https://docs.google.com/spreadsheets/d/1QqKyyYR6Q21VydFLVH3TRQUabQu_ym0Zz7PgGX0-kHA/edit?usp=sharing"",""แผน!FW50"")"),1300)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si="206"/>
        <v>0</v>
      </c>
      <c r="N467" s="195">
        <f t="shared" si="206"/>
        <v>119845</v>
      </c>
      <c r="O467" s="195">
        <f t="shared" ref="O467:O472" ca="1" si="207">IF(L467&gt;0,N467*100/L467,0)</f>
        <v>10.223868118968648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1172208</v>
      </c>
      <c r="M469" s="93">
        <f t="shared" si="209"/>
        <v>0</v>
      </c>
      <c r="N469" s="93">
        <f t="shared" si="209"/>
        <v>119845</v>
      </c>
      <c r="O469" s="93">
        <f t="shared" ca="1" si="207"/>
        <v>10.223868118968648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si="210"/>
        <v>0</v>
      </c>
      <c r="N470" s="497">
        <f t="shared" si="210"/>
        <v>119845</v>
      </c>
      <c r="O470" s="497">
        <f t="shared" ca="1" si="207"/>
        <v>10.223868118968648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v>0</v>
      </c>
      <c r="N472" s="93">
        <f>N473+N474+N475+N476</f>
        <v>119845</v>
      </c>
      <c r="O472" s="93">
        <f t="shared" ca="1" si="207"/>
        <v>10.223868118968648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33171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52000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f>26860+1005+5479+7870-6540</f>
        <v>34674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IFERROR(__xludf.DUMMYFUNCTION("IMPORTRANGE(""https://docs.google.com/spreadsheets/d/1QqKyyYR6Q21VydFLVH3TRQUabQu_ym0Zz7PgGX0-kHA/edit?usp=sharing"",""แผน!GU50"")"),0)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80104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493687</v>
      </c>
      <c r="M544" s="155">
        <f t="shared" si="236"/>
        <v>0</v>
      </c>
      <c r="N544" s="155">
        <f t="shared" si="236"/>
        <v>84058.290000000008</v>
      </c>
      <c r="O544" s="155">
        <f t="shared" ref="O544:O549" ca="1" si="237">IF(L544&gt;0,N544*100/L544,0)</f>
        <v>17.026636310050701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493687</v>
      </c>
      <c r="M546" s="93">
        <f t="shared" si="240"/>
        <v>0</v>
      </c>
      <c r="N546" s="93">
        <f t="shared" si="240"/>
        <v>84058.290000000008</v>
      </c>
      <c r="O546" s="93">
        <f t="shared" ca="1" si="237"/>
        <v>17.026636310050701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493687</v>
      </c>
      <c r="M547" s="497">
        <f t="shared" si="241"/>
        <v>0</v>
      </c>
      <c r="N547" s="497">
        <f t="shared" si="241"/>
        <v>84058.290000000008</v>
      </c>
      <c r="O547" s="497">
        <f t="shared" ca="1" si="237"/>
        <v>17.026636310050701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IFERROR(__xludf.DUMMYFUNCTION("IMPORTRANGE(""https://docs.google.com/spreadsheets/d/1QqKyyYR6Q21VydFLVH3TRQUabQu_ym0Zz7PgGX0-kHA/edit?usp=sharing"",""แผน!HB50"")"),493687)</f>
        <v>493687</v>
      </c>
      <c r="M549" s="93">
        <v>0</v>
      </c>
      <c r="N549" s="93">
        <f>N550+N551+N552+N553+N554</f>
        <v>84058.290000000008</v>
      </c>
      <c r="O549" s="93">
        <f t="shared" ca="1" si="237"/>
        <v>17.026636310050701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52000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f>660+3140+15141+5260+7865+500+331-838.71</f>
        <v>32058.29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80104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1116.18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IFERROR(__xludf.DUMMYFUNCTION("IMPORTRANGE(""https://docs.google.com/spreadsheets/d/1QqKyyYR6Q21VydFLVH3TRQUabQu_ym0Zz7PgGX0-kHA/edit?usp=sharing"",""แผน!HL50"")"),22)</f>
        <v>22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IFERROR(__xludf.DUMMYFUNCTION("IMPORTRANGE(""https://docs.google.com/spreadsheets/d/1QqKyyYR6Q21VydFLVH3TRQUabQu_ym0Zz7PgGX0-kHA/edit?usp=sharing"",""แผน!HK50"")"),1)</f>
        <v>1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812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si="263"/>
        <v>0</v>
      </c>
      <c r="N629" s="195">
        <f t="shared" si="263"/>
        <v>495960.76</v>
      </c>
      <c r="O629" s="195">
        <f t="shared" ref="O629:O634" ca="1" si="264">IF(L629&gt;0,N629*100/L629,0)</f>
        <v>48.35292236597089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1025710</v>
      </c>
      <c r="M631" s="93">
        <f t="shared" si="266"/>
        <v>0</v>
      </c>
      <c r="N631" s="93">
        <f t="shared" si="266"/>
        <v>495960.76</v>
      </c>
      <c r="O631" s="93">
        <f t="shared" ca="1" si="264"/>
        <v>48.35292236597089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si="267"/>
        <v>0</v>
      </c>
      <c r="N632" s="497">
        <f t="shared" si="267"/>
        <v>495960.76</v>
      </c>
      <c r="O632" s="497">
        <f t="shared" ca="1" si="264"/>
        <v>48.35292236597089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v>0</v>
      </c>
      <c r="N634" s="93">
        <f>N635+N636+N637+N638</f>
        <v>495960.76</v>
      </c>
      <c r="O634" s="93">
        <f t="shared" ca="1" si="264"/>
        <v>48.35292236597089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104000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f>31910+36500+14127.5+220070+29460+43043.26+17150-300</f>
        <v>391960.76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IFERROR(__xludf.DUMMYFUNCTION("IMPORTRANGE(""https://docs.google.com/spreadsheets/d/1XWAQStnk-4SwqDmLtmXYiTMKHgktTP8We1SCoS47DrQ/edit?usp=sharing"",""จัดที่ดิน!AS50"")"),125)</f>
        <v>125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IFERROR(__xludf.DUMMYFUNCTION("IMPORTRANGE(""https://docs.google.com/spreadsheets/d/1XWAQStnk-4SwqDmLtmXYiTMKHgktTP8We1SCoS47DrQ/edit?usp=sharing"",""จัดที่ดิน!AT50"")"),58.87)</f>
        <v>58.87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IFERROR(__xludf.DUMMYFUNCTION("IMPORTRANGE(""https://docs.google.com/spreadsheets/d/1XWAQStnk-4SwqDmLtmXYiTMKHgktTP8We1SCoS47DrQ/edit?usp=sharing"",""จัดที่ดิน!AU50"")"),352)</f>
        <v>352</v>
      </c>
      <c r="K647" s="163">
        <f t="shared" ca="1" si="271"/>
        <v>43.349753694581281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IFERROR(__xludf.DUMMYFUNCTION("IMPORTRANGE(""https://docs.google.com/spreadsheets/d/1XWAQStnk-4SwqDmLtmXYiTMKHgktTP8We1SCoS47DrQ/edit?usp=sharing"",""จัดที่ดิน!AV50"")"),173.41)</f>
        <v>173.41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IFERROR(__xludf.DUMMYFUNCTION("IMPORTRANGE(""https://docs.google.com/spreadsheets/d/1XWAQStnk-4SwqDmLtmXYiTMKHgktTP8We1SCoS47DrQ/edit?usp=sharing"",""จัดที่ดิน!AW50"")"),589)</f>
        <v>589</v>
      </c>
      <c r="K649" s="163">
        <f t="shared" ca="1" si="271"/>
        <v>72.536945812807886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IFERROR(__xludf.DUMMYFUNCTION("IMPORTRANGE(""https://docs.google.com/spreadsheets/d/1XWAQStnk-4SwqDmLtmXYiTMKHgktTP8We1SCoS47DrQ/edit?usp=sharing"",""จัดที่ดิน!AX50"")"),311.24)</f>
        <v>311.24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IFERROR(__xludf.DUMMYFUNCTION("IMPORTRANGE(""https://docs.google.com/spreadsheets/d/1XWAQStnk-4SwqDmLtmXYiTMKHgktTP8We1SCoS47DrQ/edit?usp=sharing"",""จัดที่ดิน!AZ50"")"),0)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IFERROR(__xludf.DUMMYFUNCTION("IMPORTRANGE(""https://docs.google.com/spreadsheets/d/1QqKyyYR6Q21VydFLVH3TRQUabQu_ym0Zz7PgGX0-kHA/edit?usp=sharing"",""แผน!IA50"")"),0)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IFERROR(__xludf.DUMMYFUNCTION("IMPORTRANGE(""https://docs.google.com/spreadsheets/d/1QqKyyYR6Q21VydFLVH3TRQUabQu_ym0Zz7PgGX0-kHA/edit?usp=sharing"",""แผน!IB50"")"),0)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si="282"/>
        <v>0</v>
      </c>
      <c r="N685" s="195">
        <f t="shared" si="282"/>
        <v>43455</v>
      </c>
      <c r="O685" s="195">
        <f t="shared" ref="O685:O688" ca="1" si="283">IF(L685&gt;0,N685*100/L685,0)</f>
        <v>28.239537301793604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153880</v>
      </c>
      <c r="M687" s="93">
        <f t="shared" si="285"/>
        <v>0</v>
      </c>
      <c r="N687" s="93">
        <f t="shared" si="285"/>
        <v>43455</v>
      </c>
      <c r="O687" s="93">
        <f t="shared" ca="1" si="283"/>
        <v>28.239537301793604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si="286"/>
        <v>0</v>
      </c>
      <c r="N688" s="497">
        <f t="shared" si="286"/>
        <v>43455</v>
      </c>
      <c r="O688" s="497">
        <f t="shared" ca="1" si="283"/>
        <v>28.239537301793604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v>0</v>
      </c>
      <c r="N690" s="93">
        <f>N691+N692+N693+N694</f>
        <v>43455</v>
      </c>
      <c r="O690" s="93">
        <f ca="1">IF(L690&gt;0,N690*100/L690,0)</f>
        <v>28.239537301793604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f>31140+12315</f>
        <v>43455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IFERROR(__xludf.DUMMYFUNCTION("IMPORTRANGE(""https://docs.google.com/spreadsheets/d/1XWAQStnk-4SwqDmLtmXYiTMKHgktTP8We1SCoS47DrQ/edit?usp=sharing"",""จัดที่ดิน!BB50"")"),362.21)</f>
        <v>362.21</v>
      </c>
      <c r="K699" s="497">
        <f t="shared" ref="K699:K701" ca="1" si="290">IF(I699&gt;0,J699*100/I699,0)</f>
        <v>54.631975867269986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IFERROR(__xludf.DUMMYFUNCTION("IMPORTRANGE(""https://docs.google.com/spreadsheets/d/1XWAQStnk-4SwqDmLtmXYiTMKHgktTP8We1SCoS47DrQ/edit?usp=sharing"",""จัดที่ดิน!BD50"")"),3)</f>
        <v>3</v>
      </c>
      <c r="K700" s="497">
        <f t="shared" ca="1" si="290"/>
        <v>4.838709677419355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IFERROR(__xludf.DUMMYFUNCTION("IMPORTRANGE(""https://docs.google.com/spreadsheets/d/1QqKyyYR6Q21VydFLVH3TRQUabQu_ym0Zz7PgGX0-kHA/edit?usp=sharing"",""แผน!IE50"")"),342)</f>
        <v>342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IFERROR(__xludf.DUMMYFUNCTION("IMPORTRANGE(""https://docs.google.com/spreadsheets/d/1QqKyyYR6Q21VydFLVH3TRQUabQu_ym0Zz7PgGX0-kHA/edit?usp=sharing"",""แผน!IH50"")"),0)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IFERROR(__xludf.DUMMYFUNCTION("IMPORTRANGE(""https://docs.google.com/spreadsheets/d/1QqKyyYR6Q21VydFLVH3TRQUabQu_ym0Zz7PgGX0-kHA/edit?usp=sharing"",""แผน!IJ50"")"),39)</f>
        <v>39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IFERROR(__xludf.DUMMYFUNCTION("IMPORTRANGE(""https://docs.google.com/spreadsheets/d/1QqKyyYR6Q21VydFLVH3TRQUabQu_ym0Zz7PgGX0-kHA/edit?usp=sharing"",""แผน!IK50"")"),410)</f>
        <v>410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IFERROR(__xludf.DUMMYFUNCTION("IMPORTRANGE(""https://docs.google.com/spreadsheets/d/1QqKyyYR6Q21VydFLVH3TRQUabQu_ym0Zz7PgGX0-kHA/edit?usp=sharing"",""แผน!IP50"")"),663)</f>
        <v>663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IFERROR(__xludf.DUMMYFUNCTION("IMPORTRANGE(""https://docs.google.com/spreadsheets/d/19vJNZY_5yjcGF2XGBMNZRCAIB0Kwfpjp8YEOfu-bneM/edit?usp=sharing"",""งานกองทุน!F50"")"),1135649.41)</f>
        <v>1135649.4099999999</v>
      </c>
      <c r="K821" s="497">
        <f t="shared" ref="K821:K828" ca="1" si="335">IF(I821&gt;0,J821*100/I821,0)</f>
        <v>24.074705445036184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IFERROR(__xludf.DUMMYFUNCTION("IMPORTRANGE(""https://docs.google.com/spreadsheets/d/19vJNZY_5yjcGF2XGBMNZRCAIB0Kwfpjp8YEOfu-bneM/edit?usp=sharing"",""งานกองทุน!E50"")"),85)</f>
        <v>85</v>
      </c>
      <c r="K822" s="497">
        <f t="shared" ca="1" si="335"/>
        <v>24.709302325581394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IFERROR(__xludf.DUMMYFUNCTION("IMPORTRANGE(""https://docs.google.com/spreadsheets/d/19vJNZY_5yjcGF2XGBMNZRCAIB0Kwfpjp8YEOfu-bneM/edit?usp=sharing"",""งานกองทุน!K50"")"),213324.11)</f>
        <v>213324.11</v>
      </c>
      <c r="K823" s="497">
        <f t="shared" ca="1" si="335"/>
        <v>8.7123985481728372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IFERROR(__xludf.DUMMYFUNCTION("IMPORTRANGE(""https://docs.google.com/spreadsheets/d/19vJNZY_5yjcGF2XGBMNZRCAIB0Kwfpjp8YEOfu-bneM/edit?usp=sharing"",""งานกองทุน!J50"")"),19)</f>
        <v>19</v>
      </c>
      <c r="K824" s="497">
        <f t="shared" ca="1" si="335"/>
        <v>14.074074074074074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IFERROR(__xludf.DUMMYFUNCTION("IMPORTRANGE(""https://docs.google.com/spreadsheets/d/19vJNZY_5yjcGF2XGBMNZRCAIB0Kwfpjp8YEOfu-bneM/edit?usp=sharing"",""งานกองทุน!N50"")"),323073.26)</f>
        <v>323073.26</v>
      </c>
      <c r="J825" s="270">
        <f ca="1">IFERROR(__xludf.DUMMYFUNCTION("IMPORTRANGE(""https://docs.google.com/spreadsheets/d/19vJNZY_5yjcGF2XGBMNZRCAIB0Kwfpjp8YEOfu-bneM/edit?usp=sharing"",""งานกองทุน!P50"")"),25419.05)</f>
        <v>25419.05</v>
      </c>
      <c r="K825" s="497">
        <f t="shared" ca="1" si="335"/>
        <v>7.8678903973668382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IFERROR(__xludf.DUMMYFUNCTION("IMPORTRANGE(""https://docs.google.com/spreadsheets/d/19vJNZY_5yjcGF2XGBMNZRCAIB0Kwfpjp8YEOfu-bneM/edit?usp=sharing"",""งานกองทุน!M50"")"),16)</f>
        <v>16</v>
      </c>
      <c r="J826" s="270">
        <f ca="1">IFERROR(__xludf.DUMMYFUNCTION("IMPORTRANGE(""https://docs.google.com/spreadsheets/d/19vJNZY_5yjcGF2XGBMNZRCAIB0Kwfpjp8YEOfu-bneM/edit?usp=sharing"",""งานกองทุน!O50"")"),6)</f>
        <v>6</v>
      </c>
      <c r="K826" s="497">
        <f t="shared" ca="1" si="335"/>
        <v>37.5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IFERROR(__xludf.DUMMYFUNCTION("IMPORTRANGE(""https://docs.google.com/spreadsheets/d/19vJNZY_5yjcGF2XGBMNZRCAIB0Kwfpjp8YEOfu-bneM/edit?usp=sharing"",""งานกองทุน!U50"")"),1110000)</f>
        <v>1110000</v>
      </c>
      <c r="K827" s="497">
        <f t="shared" ca="1" si="335"/>
        <v>18.196721311475411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IFERROR(__xludf.DUMMYFUNCTION("IMPORTRANGE(""https://docs.google.com/spreadsheets/d/19vJNZY_5yjcGF2XGBMNZRCAIB0Kwfpjp8YEOfu-bneM/edit?usp=sharing"",""งานกองทุน!R50"")"),244)</f>
        <v>244</v>
      </c>
      <c r="J828" s="500">
        <f ca="1">IFERROR(__xludf.DUMMYFUNCTION("IMPORTRANGE(""https://docs.google.com/spreadsheets/d/19vJNZY_5yjcGF2XGBMNZRCAIB0Kwfpjp8YEOfu-bneM/edit?usp=sharing"",""งานกองทุน!T50"")"),39)</f>
        <v>39</v>
      </c>
      <c r="K828" s="501">
        <f t="shared" ca="1" si="335"/>
        <v>15.983606557377049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8D23E-79C7-4189-A0BD-5BD0E71D252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357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4595904</v>
      </c>
      <c r="N8" s="22">
        <f t="shared" ca="1" si="0"/>
        <v>3890333.08</v>
      </c>
      <c r="O8" s="22">
        <f t="shared" ref="O8:O16" ca="1" si="1">IF(L8&gt;0,N8*100/L8,0)</f>
        <v>40.717878254757174</v>
      </c>
      <c r="P8" s="22">
        <f t="shared" ref="P8:P16" ca="1" si="2">IF(M8&gt;0,N8*100/M8,0)</f>
        <v>84.647831634429267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4595904</v>
      </c>
      <c r="N10" s="30">
        <f t="shared" ca="1" si="3"/>
        <v>3890333.08</v>
      </c>
      <c r="O10" s="30">
        <f t="shared" ca="1" si="1"/>
        <v>40.717878254757174</v>
      </c>
      <c r="P10" s="30">
        <f t="shared" ca="1" si="2"/>
        <v>84.647831634429267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3651912</v>
      </c>
      <c r="N11" s="497">
        <f t="shared" ca="1" si="4"/>
        <v>2946341.08</v>
      </c>
      <c r="O11" s="497">
        <f t="shared" ca="1" si="1"/>
        <v>34.342197280193709</v>
      </c>
      <c r="P11" s="497">
        <f t="shared" ca="1" si="2"/>
        <v>80.679410675832273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8579361</v>
      </c>
      <c r="M13" s="93">
        <f t="shared" ca="1" si="5"/>
        <v>3651912</v>
      </c>
      <c r="N13" s="93">
        <f t="shared" ca="1" si="5"/>
        <v>2946341.08</v>
      </c>
      <c r="O13" s="93">
        <f t="shared" ca="1" si="1"/>
        <v>34.342197280193709</v>
      </c>
      <c r="P13" s="93">
        <f t="shared" ca="1" si="2"/>
        <v>80.679410675832273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943992</v>
      </c>
      <c r="N14" s="497">
        <f t="shared" ca="1" si="6"/>
        <v>943992</v>
      </c>
      <c r="O14" s="497">
        <f t="shared" ca="1" si="1"/>
        <v>96.819692307692307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943992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4595904</v>
      </c>
      <c r="N18" s="22">
        <f t="shared" ca="1" si="8"/>
        <v>3025294.7199999997</v>
      </c>
      <c r="O18" s="22">
        <f t="shared" ref="O18:O26" ca="1" si="9">IF(L18&gt;0,N18*100/L18,0)</f>
        <v>48.2078808143199</v>
      </c>
      <c r="P18" s="22">
        <f t="shared" ref="P18:P26" ca="1" si="10">IF(M18&gt;0,N18*100/M18,0)</f>
        <v>65.82589018395511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4595904</v>
      </c>
      <c r="N20" s="30">
        <f t="shared" ca="1" si="11"/>
        <v>3025294.7199999997</v>
      </c>
      <c r="O20" s="30">
        <f t="shared" ca="1" si="9"/>
        <v>48.2078808143199</v>
      </c>
      <c r="P20" s="30">
        <f t="shared" ca="1" si="10"/>
        <v>65.82589018395511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3651912</v>
      </c>
      <c r="N21" s="497">
        <f t="shared" ca="1" si="12"/>
        <v>2081302.72</v>
      </c>
      <c r="O21" s="497">
        <f t="shared" ca="1" si="9"/>
        <v>39.266017535263998</v>
      </c>
      <c r="P21" s="497">
        <f t="shared" ca="1" si="10"/>
        <v>56.992137817121552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5300519</v>
      </c>
      <c r="M23" s="93">
        <f t="shared" ca="1" si="13"/>
        <v>3651912</v>
      </c>
      <c r="N23" s="93">
        <f t="shared" ca="1" si="13"/>
        <v>2081302.72</v>
      </c>
      <c r="O23" s="93">
        <f t="shared" ca="1" si="9"/>
        <v>39.266017535263998</v>
      </c>
      <c r="P23" s="93">
        <f t="shared" ca="1" si="10"/>
        <v>56.992137817121552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943992</v>
      </c>
      <c r="N24" s="497">
        <f t="shared" ca="1" si="14"/>
        <v>943992</v>
      </c>
      <c r="O24" s="497">
        <f t="shared" ca="1" si="9"/>
        <v>96.819692307692307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943992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si="16"/>
        <v>0</v>
      </c>
      <c r="N28" s="22">
        <f t="shared" si="16"/>
        <v>865038.36</v>
      </c>
      <c r="O28" s="22">
        <f t="shared" ref="O28:O37" ca="1" si="17">IF(L28&gt;0,N28*100/L28,0)</f>
        <v>26.382435018216796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si="19"/>
        <v>0</v>
      </c>
      <c r="N30" s="30">
        <f t="shared" si="19"/>
        <v>865038.36</v>
      </c>
      <c r="O30" s="30">
        <f t="shared" ca="1" si="17"/>
        <v>26.382435018216796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si="20"/>
        <v>0</v>
      </c>
      <c r="N31" s="497">
        <f t="shared" si="20"/>
        <v>865038.36</v>
      </c>
      <c r="O31" s="497">
        <f t="shared" ca="1" si="17"/>
        <v>26.382435018216796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3278842</v>
      </c>
      <c r="M33" s="93">
        <f t="shared" si="21"/>
        <v>0</v>
      </c>
      <c r="N33" s="93">
        <f t="shared" si="21"/>
        <v>865038.36</v>
      </c>
      <c r="O33" s="93">
        <f t="shared" ca="1" si="17"/>
        <v>26.382435018216796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6275519</v>
      </c>
      <c r="M37" s="843">
        <f t="shared" ca="1" si="24"/>
        <v>4595904</v>
      </c>
      <c r="N37" s="843">
        <f t="shared" ca="1" si="24"/>
        <v>3025294.7199999997</v>
      </c>
      <c r="O37" s="843">
        <f t="shared" ca="1" si="17"/>
        <v>48.2078808143199</v>
      </c>
      <c r="P37" s="843">
        <f t="shared" ca="1" si="18"/>
        <v>65.82589018395511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489102</v>
      </c>
      <c r="N41" s="85">
        <f t="shared" ca="1" si="25"/>
        <v>239408.32</v>
      </c>
      <c r="O41" s="85">
        <f t="shared" ref="O41:O49" ca="1" si="26">IF(L41&gt;0,N41*100/L41,0)</f>
        <v>50.026918311012857</v>
      </c>
      <c r="P41" s="85">
        <f t="shared" ref="P41:P49" ca="1" si="27">IF(M41&gt;0,N41*100/M41,0)</f>
        <v>48.948546519948806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489102</v>
      </c>
      <c r="N43" s="92">
        <f t="shared" ca="1" si="28"/>
        <v>239408.32</v>
      </c>
      <c r="O43" s="92">
        <f t="shared" ca="1" si="26"/>
        <v>50.026918311012857</v>
      </c>
      <c r="P43" s="92">
        <f t="shared" ca="1" si="27"/>
        <v>48.948546519948806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489102</v>
      </c>
      <c r="N44" s="497">
        <f t="shared" ca="1" si="29"/>
        <v>239408.32</v>
      </c>
      <c r="O44" s="497">
        <f t="shared" ca="1" si="26"/>
        <v>50.026918311012857</v>
      </c>
      <c r="P44" s="497">
        <f t="shared" ca="1" si="27"/>
        <v>48.948546519948806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IFERROR(__xludf.DUMMYFUNCTION("IMPORTRANGE(""https://docs.google.com/spreadsheets/d/1MeEWN-I1oV_STSDYn1IFDPWt_1FKiwhDph83XaGc0o0/edit?usp=sharing"",""งบพรบ!R51"")"),489102)</f>
        <v>489102</v>
      </c>
      <c r="N46" s="93">
        <f ca="1">IFERROR(__xludf.DUMMYFUNCTION("IMPORTRANGE(""https://docs.google.com/spreadsheets/d/1MeEWN-I1oV_STSDYn1IFDPWt_1FKiwhDph83XaGc0o0/edit?usp=sharing"",""งบพรบ!T51"")"),239408.32)</f>
        <v>239408.32</v>
      </c>
      <c r="O46" s="93">
        <f t="shared" ca="1" si="26"/>
        <v>50.026918311012857</v>
      </c>
      <c r="P46" s="93">
        <f t="shared" ca="1" si="27"/>
        <v>48.948546519948806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1583867</v>
      </c>
      <c r="N53" s="116">
        <f t="shared" ca="1" si="31"/>
        <v>1238922.1499999999</v>
      </c>
      <c r="O53" s="116">
        <f t="shared" ref="O53:O61" ca="1" si="32">IF(L53&gt;0,N53*100/L53,0)</f>
        <v>66.842306447261933</v>
      </c>
      <c r="P53" s="116">
        <f t="shared" ref="P53:P61" ca="1" si="33">IF(M53&gt;0,N53*100/M53,0)</f>
        <v>78.221350024970519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1583867</v>
      </c>
      <c r="N55" s="123">
        <f t="shared" ca="1" si="34"/>
        <v>1238922.1499999999</v>
      </c>
      <c r="O55" s="123">
        <f t="shared" ca="1" si="32"/>
        <v>66.842306447261933</v>
      </c>
      <c r="P55" s="123">
        <f t="shared" ca="1" si="33"/>
        <v>78.221350024970519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715875</v>
      </c>
      <c r="N56" s="497">
        <f t="shared" ca="1" si="35"/>
        <v>370930.15</v>
      </c>
      <c r="O56" s="497">
        <f t="shared" ca="1" si="32"/>
        <v>38.861199580932428</v>
      </c>
      <c r="P56" s="497">
        <f t="shared" ca="1" si="33"/>
        <v>51.814932774576569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IFERROR(__xludf.DUMMYFUNCTION("IMPORTRANGE(""https://docs.google.com/spreadsheets/d/1MeEWN-I1oV_STSDYn1IFDPWt_1FKiwhDph83XaGc0o0/edit?usp=sharing"",""งบพรบ!AB51"")"),715875)</f>
        <v>715875</v>
      </c>
      <c r="N58" s="93">
        <f ca="1">IFERROR(__xludf.DUMMYFUNCTION("IMPORTRANGE(""https://docs.google.com/spreadsheets/d/1MeEWN-I1oV_STSDYn1IFDPWt_1FKiwhDph83XaGc0o0/edit?usp=sharing"",""งบพรบ!AD51"")"),370930.15)</f>
        <v>370930.15</v>
      </c>
      <c r="O58" s="93">
        <f t="shared" ca="1" si="32"/>
        <v>38.861199580932428</v>
      </c>
      <c r="P58" s="93">
        <f t="shared" ca="1" si="33"/>
        <v>51.814932774576569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200000</v>
      </c>
      <c r="N66" s="155">
        <f t="shared" ca="1" si="39"/>
        <v>136618</v>
      </c>
      <c r="O66" s="155">
        <f t="shared" ref="O66:O74" ca="1" si="40">IF(L66&gt;0,N66*100/L66,0)</f>
        <v>33.159708737864079</v>
      </c>
      <c r="P66" s="155">
        <f t="shared" ref="P66:P74" ca="1" si="41">IF(M66&gt;0,N66*100/M66,0)</f>
        <v>68.308999999999997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412000</v>
      </c>
      <c r="M68" s="93">
        <f t="shared" ca="1" si="42"/>
        <v>200000</v>
      </c>
      <c r="N68" s="93">
        <f t="shared" ca="1" si="42"/>
        <v>136618</v>
      </c>
      <c r="O68" s="93">
        <f t="shared" ca="1" si="40"/>
        <v>33.159708737864079</v>
      </c>
      <c r="P68" s="93">
        <f t="shared" ca="1" si="41"/>
        <v>68.308999999999997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200000</v>
      </c>
      <c r="N69" s="497">
        <f t="shared" ca="1" si="43"/>
        <v>136618</v>
      </c>
      <c r="O69" s="497">
        <f t="shared" ca="1" si="40"/>
        <v>33.159708737864079</v>
      </c>
      <c r="P69" s="497">
        <f t="shared" ca="1" si="41"/>
        <v>68.308999999999997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IFERROR(__xludf.DUMMYFUNCTION("IMPORTRANGE(""https://docs.google.com/spreadsheets/d/1MeEWN-I1oV_STSDYn1IFDPWt_1FKiwhDph83XaGc0o0/edit?usp=sharing"",""งบพรบ!AL51"")"),200000)</f>
        <v>200000</v>
      </c>
      <c r="N71" s="93">
        <f ca="1">IFERROR(__xludf.DUMMYFUNCTION("IMPORTRANGE(""https://docs.google.com/spreadsheets/d/1MeEWN-I1oV_STSDYn1IFDPWt_1FKiwhDph83XaGc0o0/edit?usp=sharing"",""งบพรบ!AN51"")"),136618)</f>
        <v>136618</v>
      </c>
      <c r="O71" s="93">
        <f t="shared" ca="1" si="40"/>
        <v>33.159708737864079</v>
      </c>
      <c r="P71" s="93">
        <f t="shared" ca="1" si="41"/>
        <v>68.308999999999997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35260</v>
      </c>
      <c r="N88" s="155">
        <f t="shared" ca="1" si="49"/>
        <v>27960</v>
      </c>
      <c r="O88" s="155">
        <f t="shared" ref="O88:O96" ca="1" si="50">IF(L88&gt;0,N88*100/L88,0)</f>
        <v>28.253839935327406</v>
      </c>
      <c r="P88" s="155">
        <f t="shared" ref="P88:P96" ca="1" si="51">IF(M88&gt;0,N88*100/M88,0)</f>
        <v>79.296653431650597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98960</v>
      </c>
      <c r="M90" s="93">
        <f t="shared" ca="1" si="52"/>
        <v>35260</v>
      </c>
      <c r="N90" s="93">
        <f t="shared" ca="1" si="52"/>
        <v>27960</v>
      </c>
      <c r="O90" s="93">
        <f t="shared" ca="1" si="50"/>
        <v>28.253839935327406</v>
      </c>
      <c r="P90" s="93">
        <f t="shared" ca="1" si="51"/>
        <v>79.296653431650597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35260</v>
      </c>
      <c r="N91" s="497">
        <f t="shared" ca="1" si="53"/>
        <v>27960</v>
      </c>
      <c r="O91" s="497">
        <f t="shared" ca="1" si="50"/>
        <v>28.253839935327406</v>
      </c>
      <c r="P91" s="497">
        <f t="shared" ca="1" si="51"/>
        <v>79.296653431650597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IFERROR(__xludf.DUMMYFUNCTION("IMPORTRANGE(""https://docs.google.com/spreadsheets/d/1MeEWN-I1oV_STSDYn1IFDPWt_1FKiwhDph83XaGc0o0/edit?usp=sharing"",""งบพรบ!AV51"")"),35260)</f>
        <v>35260</v>
      </c>
      <c r="N93" s="93">
        <f ca="1">IFERROR(__xludf.DUMMYFUNCTION("IMPORTRANGE(""https://docs.google.com/spreadsheets/d/1MeEWN-I1oV_STSDYn1IFDPWt_1FKiwhDph83XaGc0o0/edit?usp=sharing"",""งบพรบ!AX51"")"),27960)</f>
        <v>27960</v>
      </c>
      <c r="O93" s="93">
        <f t="shared" ca="1" si="50"/>
        <v>28.253839935327406</v>
      </c>
      <c r="P93" s="93">
        <f t="shared" ca="1" si="51"/>
        <v>79.296653431650597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/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/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/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/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/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/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/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/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/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386525</v>
      </c>
      <c r="N181" s="155">
        <f t="shared" ca="1" si="92"/>
        <v>212171.2</v>
      </c>
      <c r="O181" s="155">
        <f t="shared" ref="O181:O189" ca="1" si="93">IF(L181&gt;0,N181*100/L181,0)</f>
        <v>43.089195775792042</v>
      </c>
      <c r="P181" s="155">
        <f t="shared" ref="P181:P189" ca="1" si="94">IF(M181&gt;0,N181*100/M181,0)</f>
        <v>54.891973352305804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492400</v>
      </c>
      <c r="M183" s="93">
        <f t="shared" ca="1" si="95"/>
        <v>386525</v>
      </c>
      <c r="N183" s="93">
        <f t="shared" ca="1" si="95"/>
        <v>212171.2</v>
      </c>
      <c r="O183" s="93">
        <f t="shared" ca="1" si="93"/>
        <v>43.089195775792042</v>
      </c>
      <c r="P183" s="93">
        <f t="shared" ca="1" si="94"/>
        <v>54.891973352305804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386525</v>
      </c>
      <c r="N184" s="497">
        <f t="shared" ca="1" si="96"/>
        <v>212171.2</v>
      </c>
      <c r="O184" s="497">
        <f t="shared" ca="1" si="93"/>
        <v>43.089195775792042</v>
      </c>
      <c r="P184" s="497">
        <f t="shared" ca="1" si="94"/>
        <v>54.891973352305804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IFERROR(__xludf.DUMMYFUNCTION("IMPORTRANGE(""https://docs.google.com/spreadsheets/d/1MeEWN-I1oV_STSDYn1IFDPWt_1FKiwhDph83XaGc0o0/edit?usp=sharing"",""งบพรบ!CT51"")"),386525)</f>
        <v>386525</v>
      </c>
      <c r="N186" s="93">
        <f ca="1">IFERROR(__xludf.DUMMYFUNCTION("IMPORTRANGE(""https://docs.google.com/spreadsheets/d/1MeEWN-I1oV_STSDYn1IFDPWt_1FKiwhDph83XaGc0o0/edit?usp=sharing"",""งบพรบ!CV51"")"),212171.2)</f>
        <v>212171.2</v>
      </c>
      <c r="O186" s="93">
        <f t="shared" ca="1" si="93"/>
        <v>43.089195775792042</v>
      </c>
      <c r="P186" s="93">
        <f t="shared" ca="1" si="94"/>
        <v>54.891973352305804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32000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4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66000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22000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44400</v>
      </c>
      <c r="M229" s="93"/>
      <c r="N229" s="93">
        <f t="shared" si="107"/>
        <v>44000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10000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40</v>
      </c>
      <c r="J233" s="611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1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358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66000</v>
      </c>
      <c r="O238" s="155">
        <f ca="1">IF(L238&gt;0,N238*100/L238,0)</f>
        <v>30.358785648574056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53">
        <v>22000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53">
        <v>44000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>
        <v>1</v>
      </c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359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886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1"/>
      <c r="J251" s="611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1"/>
      <c r="J252" s="611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1"/>
      <c r="J253" s="611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1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1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1"/>
      <c r="J256" s="611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1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1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0</v>
      </c>
      <c r="K260" s="254">
        <f ca="1">IF(I260&gt;0,J260*100/I260,0)</f>
        <v>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20640</v>
      </c>
      <c r="O261" s="155">
        <f t="shared" ref="O261:O269" ca="1" si="117">IF(L261&gt;0,N261*100/L261,0)</f>
        <v>71.666666666666671</v>
      </c>
      <c r="P261" s="155">
        <f t="shared" ref="P261:P269" ca="1" si="118">IF(M261&gt;0,N261*100/M261,0)</f>
        <v>80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20640</v>
      </c>
      <c r="O263" s="93">
        <f t="shared" ca="1" si="117"/>
        <v>71.666666666666671</v>
      </c>
      <c r="P263" s="93">
        <f t="shared" ca="1" si="118"/>
        <v>80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20640</v>
      </c>
      <c r="O264" s="497">
        <f t="shared" ca="1" si="117"/>
        <v>71.666666666666671</v>
      </c>
      <c r="P264" s="497">
        <f t="shared" ca="1" si="118"/>
        <v>80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IFERROR(__xludf.DUMMYFUNCTION("IMPORTRANGE(""https://docs.google.com/spreadsheets/d/1MeEWN-I1oV_STSDYn1IFDPWt_1FKiwhDph83XaGc0o0/edit?usp=sharing"",""งบพรบ!DD51"")"),25800)</f>
        <v>25800</v>
      </c>
      <c r="N266" s="93">
        <f ca="1">IFERROR(__xludf.DUMMYFUNCTION("IMPORTRANGE(""https://docs.google.com/spreadsheets/d/1MeEWN-I1oV_STSDYn1IFDPWt_1FKiwhDph83XaGc0o0/edit?usp=sharing"",""งบพรบ!DF51"")"),20640)</f>
        <v>20640</v>
      </c>
      <c r="O266" s="93">
        <f t="shared" ca="1" si="117"/>
        <v>71.666666666666671</v>
      </c>
      <c r="P266" s="93">
        <f t="shared" ca="1" si="118"/>
        <v>80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0</v>
      </c>
      <c r="K271" s="163">
        <f ca="1">IF(I271&gt;0,J271*100/I271,0)</f>
        <v>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200</v>
      </c>
      <c r="J276" s="855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37520</v>
      </c>
      <c r="N277" s="155">
        <f t="shared" ca="1" si="125"/>
        <v>23575.9</v>
      </c>
      <c r="O277" s="155">
        <f t="shared" ref="O277:O285" ca="1" si="126">IF(L277&gt;0,N277*100/L277,0)</f>
        <v>31.168561607615018</v>
      </c>
      <c r="P277" s="155">
        <f t="shared" ref="P277:P285" ca="1" si="127">IF(M277&gt;0,N277*100/M277,0)</f>
        <v>62.835554371002132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75640</v>
      </c>
      <c r="M279" s="93">
        <f t="shared" ca="1" si="128"/>
        <v>37520</v>
      </c>
      <c r="N279" s="93">
        <f t="shared" ca="1" si="128"/>
        <v>23575.9</v>
      </c>
      <c r="O279" s="93">
        <f t="shared" ca="1" si="126"/>
        <v>31.168561607615018</v>
      </c>
      <c r="P279" s="93">
        <f t="shared" ca="1" si="127"/>
        <v>62.835554371002132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37520</v>
      </c>
      <c r="N280" s="497">
        <f t="shared" ca="1" si="129"/>
        <v>23575.9</v>
      </c>
      <c r="O280" s="497">
        <f t="shared" ca="1" si="126"/>
        <v>31.168561607615018</v>
      </c>
      <c r="P280" s="497">
        <f t="shared" ca="1" si="127"/>
        <v>62.835554371002132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IFERROR(__xludf.DUMMYFUNCTION("IMPORTRANGE(""https://docs.google.com/spreadsheets/d/1MeEWN-I1oV_STSDYn1IFDPWt_1FKiwhDph83XaGc0o0/edit?usp=sharing"",""งบพรบ!DN51"")"),37520)</f>
        <v>37520</v>
      </c>
      <c r="N282" s="93">
        <f ca="1">IFERROR(__xludf.DUMMYFUNCTION("IMPORTRANGE(""https://docs.google.com/spreadsheets/d/1MeEWN-I1oV_STSDYn1IFDPWt_1FKiwhDph83XaGc0o0/edit?usp=sharing"",""งบพรบ!DP51"")"),23575.9)</f>
        <v>23575.9</v>
      </c>
      <c r="O282" s="93">
        <f t="shared" ca="1" si="126"/>
        <v>31.168561607615018</v>
      </c>
      <c r="P282" s="93">
        <f t="shared" ca="1" si="127"/>
        <v>62.835554371002132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IFERROR(__xludf.DUMMYFUNCTION("IMPORTRANGE(""https://docs.google.com/spreadsheets/d/1QqKyyYR6Q21VydFLVH3TRQUabQu_ym0Zz7PgGX0-kHA/edit?usp=sharing"",""แผน!EB51"")"),20)</f>
        <v>20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257120</v>
      </c>
      <c r="N298" s="155">
        <f t="shared" ca="1" si="135"/>
        <v>141495.1</v>
      </c>
      <c r="O298" s="155">
        <f t="shared" ref="O298:O306" ca="1" si="136">IF(L298&gt;0,N298*100/L298,0)</f>
        <v>38.40800760043431</v>
      </c>
      <c r="P298" s="155">
        <f t="shared" ref="P298:P306" ca="1" si="137">IF(M298&gt;0,N298*100/M298,0)</f>
        <v>55.030763845675175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368400</v>
      </c>
      <c r="M300" s="93">
        <f t="shared" ca="1" si="138"/>
        <v>257120</v>
      </c>
      <c r="N300" s="93">
        <f t="shared" ca="1" si="138"/>
        <v>141495.1</v>
      </c>
      <c r="O300" s="93">
        <f t="shared" ca="1" si="136"/>
        <v>38.40800760043431</v>
      </c>
      <c r="P300" s="93">
        <f t="shared" ca="1" si="137"/>
        <v>55.030763845675175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257120</v>
      </c>
      <c r="N301" s="497">
        <f t="shared" ca="1" si="139"/>
        <v>141495.1</v>
      </c>
      <c r="O301" s="497">
        <f t="shared" ca="1" si="136"/>
        <v>38.40800760043431</v>
      </c>
      <c r="P301" s="497">
        <f t="shared" ca="1" si="137"/>
        <v>55.030763845675175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IFERROR(__xludf.DUMMYFUNCTION("IMPORTRANGE(""https://docs.google.com/spreadsheets/d/1MeEWN-I1oV_STSDYn1IFDPWt_1FKiwhDph83XaGc0o0/edit?usp=sharing"",""งบพรบ!DX51"")"),257120)</f>
        <v>257120</v>
      </c>
      <c r="N303" s="93">
        <f ca="1">IFERROR(__xludf.DUMMYFUNCTION("IMPORTRANGE(""https://docs.google.com/spreadsheets/d/1MeEWN-I1oV_STSDYn1IFDPWt_1FKiwhDph83XaGc0o0/edit?usp=sharing"",""งบพรบ!DZ51"")"),141495.1)</f>
        <v>141495.1</v>
      </c>
      <c r="O303" s="93">
        <f t="shared" ca="1" si="136"/>
        <v>38.40800760043431</v>
      </c>
      <c r="P303" s="93">
        <f t="shared" ca="1" si="137"/>
        <v>55.030763845675175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6025</v>
      </c>
      <c r="K327" s="445">
        <f ca="1">IF(I327&gt;0,J327*100/I327,0)</f>
        <v>92.692307692307693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94000</v>
      </c>
      <c r="N328" s="155">
        <f t="shared" ca="1" si="149"/>
        <v>65044.800000000003</v>
      </c>
      <c r="O328" s="155">
        <f t="shared" ref="O328:O336" ca="1" si="150">IF(L328&gt;0,N328*100/L328,0)</f>
        <v>34.598297872340424</v>
      </c>
      <c r="P328" s="155">
        <f t="shared" ref="P328:P336" ca="1" si="151">IF(M328&gt;0,N328*100/M328,0)</f>
        <v>69.196595744680849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188000</v>
      </c>
      <c r="M330" s="93">
        <f t="shared" ca="1" si="152"/>
        <v>94000</v>
      </c>
      <c r="N330" s="93">
        <f t="shared" ca="1" si="152"/>
        <v>65044.800000000003</v>
      </c>
      <c r="O330" s="93">
        <f t="shared" ca="1" si="150"/>
        <v>34.598297872340424</v>
      </c>
      <c r="P330" s="93">
        <f t="shared" ca="1" si="151"/>
        <v>69.196595744680849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94000</v>
      </c>
      <c r="N331" s="497">
        <f t="shared" ca="1" si="153"/>
        <v>65044.800000000003</v>
      </c>
      <c r="O331" s="497">
        <f t="shared" ca="1" si="150"/>
        <v>34.598297872340424</v>
      </c>
      <c r="P331" s="497">
        <f t="shared" ca="1" si="151"/>
        <v>69.196595744680849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IFERROR(__xludf.DUMMYFUNCTION("IMPORTRANGE(""https://docs.google.com/spreadsheets/d/1MeEWN-I1oV_STSDYn1IFDPWt_1FKiwhDph83XaGc0o0/edit?usp=sharing"",""งบพรบ!ER51"")"),94000)</f>
        <v>94000</v>
      </c>
      <c r="N333" s="93">
        <f ca="1">IFERROR(__xludf.DUMMYFUNCTION("IMPORTRANGE(""https://docs.google.com/spreadsheets/d/1MeEWN-I1oV_STSDYn1IFDPWt_1FKiwhDph83XaGc0o0/edit?usp=sharing"",""งบพรบ!ET51"")"),65044.8)</f>
        <v>65044.800000000003</v>
      </c>
      <c r="O333" s="93">
        <f t="shared" ca="1" si="150"/>
        <v>34.598297872340424</v>
      </c>
      <c r="P333" s="93">
        <f t="shared" ca="1" si="151"/>
        <v>69.196595744680849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IFERROR(__xludf.DUMMYFUNCTION("IMPORTRANGE(""https://docs.google.com/spreadsheets/d/1kVcqe37tkHyjCSG3S0O1AXqVkqjo8mSIZil3BcpIysc/edit?usp=sharing"",""ศูนย์!D51"")"),5665)</f>
        <v>5665</v>
      </c>
      <c r="K338" s="497">
        <f ca="1">IF(I338&gt;0,J338*100/I338,0)</f>
        <v>87.15384615384616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IFERROR(__xludf.DUMMYFUNCTION("IMPORTRANGE(""https://docs.google.com/spreadsheets/d/1kVcqe37tkHyjCSG3S0O1AXqVkqjo8mSIZil3BcpIysc/edit?usp=sharing"",""ศูนย์!E51"")"),2)</f>
        <v>2</v>
      </c>
      <c r="K340" s="497">
        <f ca="1">IF(I340&gt;0,J340*100/I340,0)</f>
        <v>20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IFERROR(__xludf.DUMMYFUNCTION("IMPORTRANGE(""https://docs.google.com/spreadsheets/d/1kVcqe37tkHyjCSG3S0O1AXqVkqjo8mSIZil3BcpIysc/edit?usp=sharing"",""ศูนย์!F51"")"),123)</f>
        <v>123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IFERROR(__xludf.DUMMYFUNCTION("IMPORTRANGE(""https://docs.google.com/spreadsheets/d/1kVcqe37tkHyjCSG3S0O1AXqVkqjo8mSIZil3BcpIysc/edit?usp=sharing"",""ศูนย์!H51"")"),229)</f>
        <v>229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1463650</v>
      </c>
      <c r="N345" s="155">
        <f t="shared" ca="1" si="155"/>
        <v>896399.25</v>
      </c>
      <c r="O345" s="155">
        <f t="shared" ref="O345:O353" ca="1" si="156">IF(L345&gt;0,N345*100/L345,0)</f>
        <v>39.730487102207249</v>
      </c>
      <c r="P345" s="155">
        <f t="shared" ref="P345:P353" ca="1" si="157">IF(M345&gt;0,N345*100/M345,0)</f>
        <v>61.244098657465926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2256200</v>
      </c>
      <c r="M347" s="93">
        <f t="shared" ca="1" si="158"/>
        <v>1463650</v>
      </c>
      <c r="N347" s="93">
        <f t="shared" ca="1" si="158"/>
        <v>896399.25</v>
      </c>
      <c r="O347" s="93">
        <f t="shared" ca="1" si="156"/>
        <v>39.730487102207249</v>
      </c>
      <c r="P347" s="93">
        <f t="shared" ca="1" si="157"/>
        <v>61.244098657465926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1387650</v>
      </c>
      <c r="N348" s="497">
        <f t="shared" ca="1" si="159"/>
        <v>820399.25</v>
      </c>
      <c r="O348" s="497">
        <f t="shared" ca="1" si="156"/>
        <v>37.629540867810292</v>
      </c>
      <c r="P348" s="497">
        <f t="shared" ca="1" si="157"/>
        <v>59.121482362267145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IFERROR(__xludf.DUMMYFUNCTION("IMPORTRANGE(""https://docs.google.com/spreadsheets/d/1MeEWN-I1oV_STSDYn1IFDPWt_1FKiwhDph83XaGc0o0/edit?usp=sharing"",""งบพรบ!FB51"")"),1387650)</f>
        <v>1387650</v>
      </c>
      <c r="N350" s="93">
        <f ca="1">IFERROR(__xludf.DUMMYFUNCTION("IMPORTRANGE(""https://docs.google.com/spreadsheets/d/1MeEWN-I1oV_STSDYn1IFDPWt_1FKiwhDph83XaGc0o0/edit?usp=sharing"",""งบพรบ!FD51"")"),820399.25)</f>
        <v>820399.25</v>
      </c>
      <c r="O350" s="93">
        <f t="shared" ca="1" si="156"/>
        <v>37.629540867810292</v>
      </c>
      <c r="P350" s="93">
        <f t="shared" ca="1" si="157"/>
        <v>59.121482362267145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IFERROR(__xludf.DUMMYFUNCTION("IMPORTRANGE(""https://docs.google.com/spreadsheets/d/1MeEWN-I1oV_STSDYn1IFDPWt_1FKiwhDph83XaGc0o0/edit?usp=sharing"",""งบพรบ!FC51"")"),76000)</f>
        <v>76000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IFERROR(__xludf.DUMMYFUNCTION("IMPORTRANGE(""https://docs.google.com/spreadsheets/d/1QqKyyYR6Q21VydFLVH3TRQUabQu_ym0Zz7PgGX0-kHA/edit?usp=sharing"",""แผน!EP51"")"),1300)</f>
        <v>1300</v>
      </c>
      <c r="J355" s="464">
        <f ca="1">J362</f>
        <v>73</v>
      </c>
      <c r="K355" s="465">
        <f ca="1">IF(I355&gt;0,J355*100/I355,0)</f>
        <v>5.615384615384615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IFERROR(__xludf.DUMMYFUNCTION("IMPORTRANGE(""https://docs.google.com/spreadsheets/d/1XWAQStnk-4SwqDmLtmXYiTMKHgktTP8We1SCoS47DrQ/edit?usp=sharing"",""จัดที่ดิน!W51"")"),566)</f>
        <v>566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IFERROR(__xludf.DUMMYFUNCTION("IMPORTRANGE(""https://docs.google.com/spreadsheets/d/1QqKyyYR6Q21VydFLVH3TRQUabQu_ym0Zz7PgGX0-kHA/edit?usp=sharing"",""แผน!EO51"")"),13000)</f>
        <v>13000</v>
      </c>
      <c r="J359" s="270">
        <f ca="1">IFERROR(__xludf.DUMMYFUNCTION("IMPORTRANGE(""https://docs.google.com/spreadsheets/d/1XWAQStnk-4SwqDmLtmXYiTMKHgktTP8We1SCoS47DrQ/edit?usp=sharing"",""จัดที่ดิน!X51"")"),4802.59999999999)</f>
        <v>4802.5999999999904</v>
      </c>
      <c r="K359" s="497">
        <f t="shared" ca="1" si="161"/>
        <v>36.943076923076845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IFERROR(__xludf.DUMMYFUNCTION("IMPORTRANGE(""https://docs.google.com/spreadsheets/d/1QqKyyYR6Q21VydFLVH3TRQUabQu_ym0Zz7PgGX0-kHA/edit?usp=sharing"",""แผน!EP51"")"),1300)</f>
        <v>1300</v>
      </c>
      <c r="J360" s="270">
        <f ca="1">IFERROR(__xludf.DUMMYFUNCTION("IMPORTRANGE(""https://docs.google.com/spreadsheets/d/1XWAQStnk-4SwqDmLtmXYiTMKHgktTP8We1SCoS47DrQ/edit?usp=sharing"",""จัดที่ดิน!Y51"")"),452)</f>
        <v>452</v>
      </c>
      <c r="K360" s="497">
        <f t="shared" ca="1" si="161"/>
        <v>34.769230769230766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IFERROR(__xludf.DUMMYFUNCTION("IMPORTRANGE(""https://docs.google.com/spreadsheets/d/1XWAQStnk-4SwqDmLtmXYiTMKHgktTP8We1SCoS47DrQ/edit?usp=sharing"",""จัดที่ดิน!Z51"")"),4148.32)</f>
        <v>4148.32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IFERROR(__xludf.DUMMYFUNCTION("IMPORTRANGE(""https://docs.google.com/spreadsheets/d/1QqKyyYR6Q21VydFLVH3TRQUabQu_ym0Zz7PgGX0-kHA/edit?usp=sharing"",""แผน!EP51"")"),1300)</f>
        <v>1300</v>
      </c>
      <c r="J362" s="270">
        <f ca="1">IFERROR(__xludf.DUMMYFUNCTION("IMPORTRANGE(""https://docs.google.com/spreadsheets/d/1XWAQStnk-4SwqDmLtmXYiTMKHgktTP8We1SCoS47DrQ/edit?usp=sharing"",""จัดที่ดิน!AA51"")"),73)</f>
        <v>73</v>
      </c>
      <c r="K362" s="497">
        <f t="shared" ca="1" si="161"/>
        <v>5.615384615384615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IFERROR(__xludf.DUMMYFUNCTION("IMPORTRANGE(""https://docs.google.com/spreadsheets/d/1XWAQStnk-4SwqDmLtmXYiTMKHgktTP8We1SCoS47DrQ/edit?usp=sharing"",""จัดที่ดิน!AB51"")"),777.61)</f>
        <v>777.61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1500</v>
      </c>
      <c r="J364" s="478">
        <f t="shared" ca="1" si="162"/>
        <v>183</v>
      </c>
      <c r="K364" s="479">
        <f t="shared" ca="1" si="161"/>
        <v>12.2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IFERROR(__xludf.DUMMYFUNCTION("IMPORTRANGE(""https://docs.google.com/spreadsheets/d/1XWAQStnk-4SwqDmLtmXYiTMKHgktTP8We1SCoS47DrQ/edit?usp=sharing"",""จัดที่ดิน!E51"")"),208)</f>
        <v>208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IFERROR(__xludf.DUMMYFUNCTION("IMPORTRANGE(""https://docs.google.com/spreadsheets/d/1XWAQStnk-4SwqDmLtmXYiTMKHgktTP8We1SCoS47DrQ/edit?usp=sharing"",""จัดที่ดิน!F51"")"),1347.61)</f>
        <v>1347.61</v>
      </c>
      <c r="K369" s="497">
        <f t="shared" ca="1" si="163"/>
        <v>44.920333333333332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IFERROR(__xludf.DUMMYFUNCTION("IMPORTRANGE(""https://docs.google.com/spreadsheets/d/1XWAQStnk-4SwqDmLtmXYiTMKHgktTP8We1SCoS47DrQ/edit?usp=sharing"",""จัดที่ดิน!G51"")"),94)</f>
        <v>94</v>
      </c>
      <c r="K370" s="497">
        <f t="shared" ca="1" si="163"/>
        <v>31.333333333333332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IFERROR(__xludf.DUMMYFUNCTION("IMPORTRANGE(""https://docs.google.com/spreadsheets/d/1XWAQStnk-4SwqDmLtmXYiTMKHgktTP8We1SCoS47DrQ/edit?usp=sharing"",""จัดที่ดิน!H51"")"),719.16)</f>
        <v>719.16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IFERROR(__xludf.DUMMYFUNCTION("IMPORTRANGE(""https://docs.google.com/spreadsheets/d/1QqKyyYR6Q21VydFLVH3TRQUabQu_ym0Zz7PgGX0-kHA/edit?usp=sharing"",""แผน!EU51"")"),1200)</f>
        <v>1200</v>
      </c>
      <c r="J374" s="490">
        <f ca="1">J381</f>
        <v>183</v>
      </c>
      <c r="K374" s="491">
        <f t="shared" ca="1" si="163"/>
        <v>15.25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IFERROR(__xludf.DUMMYFUNCTION("IMPORTRANGE(""https://docs.google.com/spreadsheets/d/1XWAQStnk-4SwqDmLtmXYiTMKHgktTP8We1SCoS47DrQ/edit?usp=sharing"",""จัดที่ดิน!AH51"")"),358)</f>
        <v>358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IFERROR(__xludf.DUMMYFUNCTION("IMPORTRANGE(""https://docs.google.com/spreadsheets/d/1QqKyyYR6Q21VydFLVH3TRQUabQu_ym0Zz7PgGX0-kHA/edit?usp=sharing"",""แผน!ET51"")"),10000)</f>
        <v>10000</v>
      </c>
      <c r="J378" s="270">
        <f ca="1">IFERROR(__xludf.DUMMYFUNCTION("IMPORTRANGE(""https://docs.google.com/spreadsheets/d/1XWAQStnk-4SwqDmLtmXYiTMKHgktTP8We1SCoS47DrQ/edit?usp=sharing"",""จัดที่ดิน!AI51"")"),3454.99)</f>
        <v>3454.99</v>
      </c>
      <c r="K378" s="497">
        <f t="shared" ca="1" si="164"/>
        <v>34.549900000000001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IFERROR(__xludf.DUMMYFUNCTION("IMPORTRANGE(""https://docs.google.com/spreadsheets/d/1QqKyyYR6Q21VydFLVH3TRQUabQu_ym0Zz7PgGX0-kHA/edit?usp=sharing"",""แผน!EU51"")"),1200)</f>
        <v>1200</v>
      </c>
      <c r="J379" s="270">
        <f ca="1">IFERROR(__xludf.DUMMYFUNCTION("IMPORTRANGE(""https://docs.google.com/spreadsheets/d/1XWAQStnk-4SwqDmLtmXYiTMKHgktTP8We1SCoS47DrQ/edit?usp=sharing"",""จัดที่ดิน!AJ51"")"),468)</f>
        <v>468</v>
      </c>
      <c r="K379" s="497">
        <f t="shared" ca="1" si="164"/>
        <v>39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IFERROR(__xludf.DUMMYFUNCTION("IMPORTRANGE(""https://docs.google.com/spreadsheets/d/1XWAQStnk-4SwqDmLtmXYiTMKHgktTP8We1SCoS47DrQ/edit?usp=sharing"",""จัดที่ดิน!AK51"")"),4872.94)</f>
        <v>4872.9399999999996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IFERROR(__xludf.DUMMYFUNCTION("IMPORTRANGE(""https://docs.google.com/spreadsheets/d/1QqKyyYR6Q21VydFLVH3TRQUabQu_ym0Zz7PgGX0-kHA/edit?usp=sharing"",""แผน!EU51"")"),1200)</f>
        <v>1200</v>
      </c>
      <c r="J381" s="270">
        <f ca="1">IFERROR(__xludf.DUMMYFUNCTION("IMPORTRANGE(""https://docs.google.com/spreadsheets/d/1XWAQStnk-4SwqDmLtmXYiTMKHgktTP8We1SCoS47DrQ/edit?usp=sharing"",""จัดที่ดิน!AL51"")"),183)</f>
        <v>183</v>
      </c>
      <c r="K381" s="497">
        <f t="shared" ca="1" si="164"/>
        <v>15.25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IFERROR(__xludf.DUMMYFUNCTION("IMPORTRANGE(""https://docs.google.com/spreadsheets/d/1XWAQStnk-4SwqDmLtmXYiTMKHgktTP8We1SCoS47DrQ/edit?usp=sharing"",""จัดที่ดิน!AM51"")"),2221.39)</f>
        <v>2221.39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IFERROR(__xludf.DUMMYFUNCTION("IMPORTRANGE(""https://docs.google.com/spreadsheets/d/1QqKyyYR6Q21VydFLVH3TRQUabQu_ym0Zz7PgGX0-kHA/edit?usp=sharing"",""แผน!EW51"")"),70)</f>
        <v>70</v>
      </c>
      <c r="J385" s="500">
        <f ca="1">IFERROR(__xludf.DUMMYFUNCTION("IMPORTRANGE(""https://docs.google.com/spreadsheets/d/1XWAQStnk-4SwqDmLtmXYiTMKHgktTP8We1SCoS47DrQ/edit?usp=sharing"",""จัดที่ดิน!AP51"")"),0)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3278842</v>
      </c>
      <c r="M414" s="548">
        <f t="shared" si="181"/>
        <v>0</v>
      </c>
      <c r="N414" s="548">
        <f t="shared" si="181"/>
        <v>865038.36</v>
      </c>
      <c r="O414" s="548">
        <f ca="1">IF(L414&gt;0,N414*100/L414,0)</f>
        <v>26.382435018216796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35</v>
      </c>
      <c r="J417" s="564">
        <f t="shared" ca="1" si="182"/>
        <v>35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si="184"/>
        <v>0</v>
      </c>
      <c r="N419" s="155">
        <f t="shared" si="184"/>
        <v>92170</v>
      </c>
      <c r="O419" s="155">
        <f t="shared" ref="O419:O424" ca="1" si="185">IF(L419&gt;0,N419*100/L419,0)</f>
        <v>80.106031635668344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115060</v>
      </c>
      <c r="M421" s="93">
        <f t="shared" si="187"/>
        <v>0</v>
      </c>
      <c r="N421" s="93">
        <f t="shared" si="187"/>
        <v>92170</v>
      </c>
      <c r="O421" s="93">
        <f t="shared" ca="1" si="185"/>
        <v>80.106031635668344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si="188"/>
        <v>0</v>
      </c>
      <c r="N422" s="497">
        <f t="shared" si="188"/>
        <v>92170</v>
      </c>
      <c r="O422" s="497">
        <f t="shared" ca="1" si="185"/>
        <v>80.106031635668344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v>0</v>
      </c>
      <c r="N424" s="93">
        <f>N425+N426+N427+N428</f>
        <v>92170</v>
      </c>
      <c r="O424" s="93">
        <f t="shared" ca="1" si="185"/>
        <v>80.106031635668344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83370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f>1000+7800</f>
        <v>8800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35</v>
      </c>
      <c r="J433" s="675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IFERROR(__xludf.DUMMYFUNCTION("IMPORTRANGE(""https://docs.google.com/spreadsheets/d/1QqKyyYR6Q21VydFLVH3TRQUabQu_ym0Zz7PgGX0-kHA/edit?usp=sharing"",""แผน!FC51"")"),35)</f>
        <v>35</v>
      </c>
      <c r="J435" s="578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IFERROR(__xludf.DUMMYFUNCTION("IMPORTRANGE(""https://docs.google.com/spreadsheets/d/1QqKyyYR6Q21VydFLVH3TRQUabQu_ym0Zz7PgGX0-kHA/edit?usp=sharing"",""แผน!FD51"")"),0)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IFERROR(__xludf.DUMMYFUNCTION("IMPORTRANGE(""https://docs.google.com/spreadsheets/d/1QqKyyYR6Q21VydFLVH3TRQUabQu_ym0Zz7PgGX0-kHA/edit?usp=sharing"",""แผน!FF51"")"),35)</f>
        <v>35</v>
      </c>
      <c r="J439" s="578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90</v>
      </c>
      <c r="J442" s="584">
        <f t="shared" si="195"/>
        <v>90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300</v>
      </c>
      <c r="J443" s="564">
        <f t="shared" si="196"/>
        <v>300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si="197"/>
        <v>0</v>
      </c>
      <c r="N444" s="195">
        <f t="shared" si="197"/>
        <v>180517</v>
      </c>
      <c r="O444" s="195">
        <f t="shared" ref="O444:O449" ca="1" si="198">IF(L444&gt;0,N444*100/L444,0)</f>
        <v>29.886920529801323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604000</v>
      </c>
      <c r="M446" s="93">
        <f t="shared" si="200"/>
        <v>0</v>
      </c>
      <c r="N446" s="93">
        <f t="shared" si="200"/>
        <v>180517</v>
      </c>
      <c r="O446" s="93">
        <f t="shared" ca="1" si="198"/>
        <v>29.886920529801323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si="201"/>
        <v>0</v>
      </c>
      <c r="N447" s="497">
        <f t="shared" si="201"/>
        <v>180517</v>
      </c>
      <c r="O447" s="497">
        <f t="shared" ca="1" si="198"/>
        <v>29.886920529801323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v>0</v>
      </c>
      <c r="N449" s="93">
        <f>N450+N451+N452+N453</f>
        <v>180517</v>
      </c>
      <c r="O449" s="93">
        <f t="shared" ca="1" si="198"/>
        <v>29.886920529801323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115180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51567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f>11570+2200</f>
        <v>13770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IFERROR(__xludf.DUMMYFUNCTION("IMPORTRANGE(""https://docs.google.com/spreadsheets/d/1QqKyyYR6Q21VydFLVH3TRQUabQu_ym0Zz7PgGX0-kHA/edit?usp=sharing"",""แผน!FX51"")"),131)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IFERROR(__xludf.DUMMYFUNCTION("IMPORTRANGE(""https://docs.google.com/spreadsheets/d/1QqKyyYR6Q21VydFLVH3TRQUabQu_ym0Zz7PgGX0-kHA/edit?usp=sharing"",""แผน!FW51"")"),1300)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si="206"/>
        <v>0</v>
      </c>
      <c r="N467" s="195">
        <f t="shared" si="206"/>
        <v>139692</v>
      </c>
      <c r="O467" s="195">
        <f t="shared" ref="O467:O472" ca="1" si="207">IF(L467&gt;0,N467*100/L467,0)</f>
        <v>11.912018268983148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1172698</v>
      </c>
      <c r="M469" s="93">
        <f t="shared" si="209"/>
        <v>0</v>
      </c>
      <c r="N469" s="93">
        <f t="shared" si="209"/>
        <v>139692</v>
      </c>
      <c r="O469" s="93">
        <f t="shared" ca="1" si="207"/>
        <v>11.912018268983148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si="210"/>
        <v>0</v>
      </c>
      <c r="N470" s="497">
        <f t="shared" si="210"/>
        <v>139692</v>
      </c>
      <c r="O470" s="497">
        <f t="shared" ca="1" si="207"/>
        <v>11.912018268983148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v>0</v>
      </c>
      <c r="N472" s="93">
        <f>N473+N474+N475+N476</f>
        <v>139692</v>
      </c>
      <c r="O472" s="93">
        <f t="shared" ca="1" si="207"/>
        <v>11.912018268983148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72106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52000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f>3900+3846+7840</f>
        <v>15586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 hidden="1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IFERROR(__xludf.DUMMYFUNCTION("IMPORTRANGE(""https://docs.google.com/spreadsheets/d/1QqKyyYR6Q21VydFLVH3TRQUabQu_ym0Zz7PgGX0-kHA/edit?usp=sharing"",""แผน!GU51"")"),0)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88522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si="236"/>
        <v>0</v>
      </c>
      <c r="N544" s="155">
        <f t="shared" si="236"/>
        <v>189069.35</v>
      </c>
      <c r="O544" s="155">
        <f t="shared" ref="O544:O549" ca="1" si="237">IF(L544&gt;0,N544*100/L544,0)</f>
        <v>36.558876874647112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517164</v>
      </c>
      <c r="M546" s="93">
        <f t="shared" si="240"/>
        <v>0</v>
      </c>
      <c r="N546" s="93">
        <f t="shared" si="240"/>
        <v>189069.35</v>
      </c>
      <c r="O546" s="93">
        <f t="shared" ca="1" si="237"/>
        <v>36.558876874647112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si="241"/>
        <v>0</v>
      </c>
      <c r="N547" s="497">
        <f t="shared" si="241"/>
        <v>189069.35</v>
      </c>
      <c r="O547" s="497">
        <f t="shared" ca="1" si="237"/>
        <v>36.558876874647112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v>0</v>
      </c>
      <c r="N549" s="93">
        <f>N550+N551+N552+N553+N554</f>
        <v>189069.35</v>
      </c>
      <c r="O549" s="93">
        <f t="shared" ca="1" si="237"/>
        <v>36.558876874647112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52000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f>10496.35+12000+11280+3000+77636+16860+5797</f>
        <v>137069.35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88522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88522.55</v>
      </c>
      <c r="K560" s="411">
        <f t="shared" ca="1" si="246"/>
        <v>100.0006213144755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63806.057500000003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1760.88</v>
      </c>
      <c r="J592" s="702">
        <f t="shared" si="253"/>
        <v>1.58</v>
      </c>
      <c r="K592" s="671">
        <f t="shared" ref="K592:K594" ca="1" si="254">IF(I592&gt;0,J592*100/I592,0)</f>
        <v>8.9727863341056743E-2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IFERROR(__xludf.DUMMYFUNCTION("IMPORTRANGE(""https://docs.google.com/spreadsheets/d/1QqKyyYR6Q21VydFLVH3TRQUabQu_ym0Zz7PgGX0-kHA/edit?usp=sharing"",""แผน!HL51"")"),70)</f>
        <v>70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IFERROR(__xludf.DUMMYFUNCTION("IMPORTRANGE(""https://docs.google.com/spreadsheets/d/1QqKyyYR6Q21VydFLVH3TRQUabQu_ym0Zz7PgGX0-kHA/edit?usp=sharing"",""แผน!HK51"")"),3)</f>
        <v>3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250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si="263"/>
        <v>0</v>
      </c>
      <c r="N629" s="195">
        <f t="shared" si="263"/>
        <v>131407</v>
      </c>
      <c r="O629" s="195">
        <f t="shared" ref="O629:O634" ca="1" si="264">IF(L629&gt;0,N629*100/L629,0)</f>
        <v>25.904234347894654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507280</v>
      </c>
      <c r="M631" s="93">
        <f t="shared" si="266"/>
        <v>0</v>
      </c>
      <c r="N631" s="93">
        <f t="shared" si="266"/>
        <v>131407</v>
      </c>
      <c r="O631" s="93">
        <f t="shared" ca="1" si="264"/>
        <v>25.904234347894654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si="267"/>
        <v>0</v>
      </c>
      <c r="N632" s="497">
        <f t="shared" si="267"/>
        <v>131407</v>
      </c>
      <c r="O632" s="497">
        <f t="shared" ca="1" si="264"/>
        <v>25.904234347894654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v>0</v>
      </c>
      <c r="N634" s="93">
        <f>N635+N636+N637+N638</f>
        <v>131407</v>
      </c>
      <c r="O634" s="93">
        <f t="shared" ca="1" si="264"/>
        <v>25.904234347894654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51567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f>70080+9760</f>
        <v>79840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IFERROR(__xludf.DUMMYFUNCTION("IMPORTRANGE(""https://docs.google.com/spreadsheets/d/1XWAQStnk-4SwqDmLtmXYiTMKHgktTP8We1SCoS47DrQ/edit?usp=sharing"",""จัดที่ดิน!AS51"")"),123)</f>
        <v>123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IFERROR(__xludf.DUMMYFUNCTION("IMPORTRANGE(""https://docs.google.com/spreadsheets/d/1XWAQStnk-4SwqDmLtmXYiTMKHgktTP8We1SCoS47DrQ/edit?usp=sharing"",""จัดที่ดิน!AT51"")"),54.58)</f>
        <v>54.58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IFERROR(__xludf.DUMMYFUNCTION("IMPORTRANGE(""https://docs.google.com/spreadsheets/d/1XWAQStnk-4SwqDmLtmXYiTMKHgktTP8We1SCoS47DrQ/edit?usp=sharing"",""จัดที่ดิน!AU51"")"),86)</f>
        <v>86</v>
      </c>
      <c r="K647" s="163">
        <f t="shared" ca="1" si="271"/>
        <v>34.4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IFERROR(__xludf.DUMMYFUNCTION("IMPORTRANGE(""https://docs.google.com/spreadsheets/d/1XWAQStnk-4SwqDmLtmXYiTMKHgktTP8We1SCoS47DrQ/edit?usp=sharing"",""จัดที่ดิน!AV51"")"),39.14)</f>
        <v>39.14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IFERROR(__xludf.DUMMYFUNCTION("IMPORTRANGE(""https://docs.google.com/spreadsheets/d/1XWAQStnk-4SwqDmLtmXYiTMKHgktTP8We1SCoS47DrQ/edit?usp=sharing"",""จัดที่ดิน!AW51"")"),77)</f>
        <v>77</v>
      </c>
      <c r="K649" s="163">
        <f t="shared" ca="1" si="271"/>
        <v>30.8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IFERROR(__xludf.DUMMYFUNCTION("IMPORTRANGE(""https://docs.google.com/spreadsheets/d/1XWAQStnk-4SwqDmLtmXYiTMKHgktTP8We1SCoS47DrQ/edit?usp=sharing"",""จัดที่ดิน!AX51"")"),34.05)</f>
        <v>34.049999999999997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IFERROR(__xludf.DUMMYFUNCTION("IMPORTRANGE(""https://docs.google.com/spreadsheets/d/1XWAQStnk-4SwqDmLtmXYiTMKHgktTP8We1SCoS47DrQ/edit?usp=sharing"",""จัดที่ดิน!AZ51"")"),0)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2100</v>
      </c>
      <c r="O655" s="195">
        <f t="shared" ref="O655:O660" ca="1" si="274">IF(L655&gt;0,N655*100/L655,0)</f>
        <v>13.461538461538462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2100</v>
      </c>
      <c r="O657" s="93">
        <f t="shared" ca="1" si="274"/>
        <v>13.461538461538462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si="277"/>
        <v>0</v>
      </c>
      <c r="N658" s="497">
        <f t="shared" si="277"/>
        <v>2100</v>
      </c>
      <c r="O658" s="497">
        <f t="shared" ca="1" si="274"/>
        <v>13.461538461538462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v>0</v>
      </c>
      <c r="N660" s="93">
        <f>N661+N662+N663+N664</f>
        <v>2100</v>
      </c>
      <c r="O660" s="93">
        <f t="shared" ca="1" si="274"/>
        <v>13.461538461538462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2100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IFERROR(__xludf.DUMMYFUNCTION("IMPORTRANGE(""https://docs.google.com/spreadsheets/d/1QqKyyYR6Q21VydFLVH3TRQUabQu_ym0Zz7PgGX0-kHA/edit?usp=sharing"",""แผน!IA51"")"),100)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IFERROR(__xludf.DUMMYFUNCTION("IMPORTRANGE(""https://docs.google.com/spreadsheets/d/1QqKyyYR6Q21VydFLVH3TRQUabQu_ym0Zz7PgGX0-kHA/edit?usp=sharing"",""แผน!IB51"")"),0)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11840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IFERROR(__xludf.DUMMYFUNCTION("IMPORTRANGE(""https://docs.google.com/spreadsheets/d/1QqKyyYR6Q21VydFLVH3TRQUabQu_ym0Zz7PgGX0-kHA/edit?usp=sharing"",""แผน!IE51"")"),0)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IFERROR(__xludf.DUMMYFUNCTION("IMPORTRANGE(""https://docs.google.com/spreadsheets/d/1QqKyyYR6Q21VydFLVH3TRQUabQu_ym0Zz7PgGX0-kHA/edit?usp=sharing"",""แผน!IH51"")"),0)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IFERROR(__xludf.DUMMYFUNCTION("IMPORTRANGE(""https://docs.google.com/spreadsheets/d/1QqKyyYR6Q21VydFLVH3TRQUabQu_ym0Zz7PgGX0-kHA/edit?usp=sharing"",""แผน!IJ51"")"),0)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IFERROR(__xludf.DUMMYFUNCTION("IMPORTRANGE(""https://docs.google.com/spreadsheets/d/1QqKyyYR6Q21VydFLVH3TRQUabQu_ym0Zz7PgGX0-kHA/edit?usp=sharing"",""แผน!IK51"")"),0)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IFERROR(__xludf.DUMMYFUNCTION("IMPORTRANGE(""https://docs.google.com/spreadsheets/d/1QqKyyYR6Q21VydFLVH3TRQUabQu_ym0Zz7PgGX0-kHA/edit?usp=sharing"",""แผน!IP51"")"),0)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5000</v>
      </c>
      <c r="J785" s="801">
        <f t="shared" ca="1" si="318"/>
        <v>570</v>
      </c>
      <c r="K785" s="802">
        <f ca="1">IF(I785&gt;0,J785*100/I785,0)</f>
        <v>11.4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130083.01</v>
      </c>
      <c r="O786" s="195">
        <f t="shared" ref="O786:O791" ca="1" si="320">IF(L786&gt;0,N786*100/L786,0)</f>
        <v>38.807580548926012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335200</v>
      </c>
      <c r="M788" s="93">
        <f t="shared" si="322"/>
        <v>0</v>
      </c>
      <c r="N788" s="93">
        <f t="shared" si="322"/>
        <v>130083.01</v>
      </c>
      <c r="O788" s="93">
        <f t="shared" ca="1" si="320"/>
        <v>38.807580548926012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335200</v>
      </c>
      <c r="M789" s="497">
        <f t="shared" si="323"/>
        <v>0</v>
      </c>
      <c r="N789" s="497">
        <f t="shared" si="323"/>
        <v>130083.01</v>
      </c>
      <c r="O789" s="497">
        <f t="shared" ca="1" si="320"/>
        <v>38.807580548926012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v>0</v>
      </c>
      <c r="N791" s="93">
        <f>N792+N793+N794+N795</f>
        <v>130083.01</v>
      </c>
      <c r="O791" s="93">
        <f t="shared" ca="1" si="320"/>
        <v>38.807580548926012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44200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f>41800+39800+4283.01</f>
        <v>85883.01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IFERROR(__xludf.DUMMYFUNCTION("IMPORTRANGE(""https://docs.google.com/spreadsheets/d/1MaWodYyGHDf7siQLGxnXhG4mBNTNIuy296niS2xXulU/edit?usp=sharing"",""RTK!H51"")"),33)</f>
        <v>33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IFERROR(__xludf.DUMMYFUNCTION("IMPORTRANGE(""https://docs.google.com/spreadsheets/d/1MaWodYyGHDf7siQLGxnXhG4mBNTNIuy296niS2xXulU/edit?usp=sharing"",""RTK!G51"")"),5000)</f>
        <v>5000</v>
      </c>
      <c r="J801" s="816">
        <f ca="1">IFERROR(__xludf.DUMMYFUNCTION("IMPORTRANGE(""https://docs.google.com/spreadsheets/d/1MaWodYyGHDf7siQLGxnXhG4mBNTNIuy296niS2xXulU/edit?usp=sharing"",""RTK!I51"")"),570)</f>
        <v>570</v>
      </c>
      <c r="K801" s="817">
        <f ca="1">IF(I801&gt;0,J801*100/I801,0)</f>
        <v>11.4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883"/>
      <c r="B802" s="884"/>
      <c r="C802" s="884"/>
      <c r="D802" s="884"/>
      <c r="E802" s="818"/>
      <c r="F802" s="818" t="s">
        <v>321</v>
      </c>
      <c r="G802" s="333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IFERROR(__xludf.DUMMYFUNCTION("IMPORTRANGE(""https://docs.google.com/spreadsheets/d/1MaWodYyGHDf7siQLGxnXhG4mBNTNIuy296niS2xXulU/edit?usp=sharing"",""RTK!L51"")"),0)</f>
        <v>0</v>
      </c>
      <c r="K802" s="806"/>
      <c r="L802" s="321"/>
      <c r="M802" s="321"/>
      <c r="N802" s="321"/>
      <c r="O802" s="321"/>
      <c r="P802" s="321"/>
      <c r="Q802" s="885"/>
      <c r="R802" s="885"/>
      <c r="S802" s="885"/>
      <c r="T802" s="885"/>
      <c r="U802" s="885"/>
      <c r="V802" s="885"/>
      <c r="W802" s="885"/>
      <c r="X802" s="885"/>
      <c r="Y802" s="885"/>
      <c r="Z802" s="885"/>
    </row>
    <row r="803" spans="1:26" ht="18.75">
      <c r="A803" s="883"/>
      <c r="B803" s="884"/>
      <c r="C803" s="884"/>
      <c r="D803" s="884"/>
      <c r="E803" s="818"/>
      <c r="F803" s="818"/>
      <c r="G803" s="333"/>
      <c r="H803" s="814" t="s">
        <v>46</v>
      </c>
      <c r="I803" s="815">
        <f ca="1">IFERROR(__xludf.DUMMYFUNCTION("IMPORTRANGE(""https://docs.google.com/spreadsheets/d/1MaWodYyGHDf7siQLGxnXhG4mBNTNIuy296niS2xXulU/edit?usp=sharing"",""RTK!K51"")"),0)</f>
        <v>0</v>
      </c>
      <c r="J803" s="816">
        <f ca="1">IFERROR(__xludf.DUMMYFUNCTION("IMPORTRANGE(""https://docs.google.com/spreadsheets/d/1MaWodYyGHDf7siQLGxnXhG4mBNTNIuy296niS2xXulU/edit?usp=sharing"",""RTK!M51"")"),0)</f>
        <v>0</v>
      </c>
      <c r="K803" s="817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885"/>
      <c r="R803" s="885"/>
      <c r="S803" s="885"/>
      <c r="T803" s="885"/>
      <c r="U803" s="885"/>
      <c r="V803" s="885"/>
      <c r="W803" s="885"/>
      <c r="X803" s="885"/>
      <c r="Y803" s="885"/>
      <c r="Z803" s="885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IFERROR(__xludf.DUMMYFUNCTION("IMPORTRANGE(""https://docs.google.com/spreadsheets/d/19vJNZY_5yjcGF2XGBMNZRCAIB0Kwfpjp8YEOfu-bneM/edit?usp=sharing"",""งานกองทุน!F51"")"),5172008.15)</f>
        <v>5172008.1500000004</v>
      </c>
      <c r="K821" s="497">
        <f t="shared" ref="K821:K828" ca="1" si="336">IF(I821&gt;0,J821*100/I821,0)</f>
        <v>84.965586428957835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IFERROR(__xludf.DUMMYFUNCTION("IMPORTRANGE(""https://docs.google.com/spreadsheets/d/19vJNZY_5yjcGF2XGBMNZRCAIB0Kwfpjp8YEOfu-bneM/edit?usp=sharing"",""งานกองทุน!E51"")"),251)</f>
        <v>251</v>
      </c>
      <c r="K822" s="497">
        <f t="shared" ca="1" si="336"/>
        <v>83.388704318936874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IFERROR(__xludf.DUMMYFUNCTION("IMPORTRANGE(""https://docs.google.com/spreadsheets/d/19vJNZY_5yjcGF2XGBMNZRCAIB0Kwfpjp8YEOfu-bneM/edit?usp=sharing"",""งานกองทุน!K51"")"),310287.1)</f>
        <v>310287.09999999998</v>
      </c>
      <c r="K823" s="497">
        <f t="shared" ca="1" si="336"/>
        <v>7.4393696733798711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IFERROR(__xludf.DUMMYFUNCTION("IMPORTRANGE(""https://docs.google.com/spreadsheets/d/19vJNZY_5yjcGF2XGBMNZRCAIB0Kwfpjp8YEOfu-bneM/edit?usp=sharing"",""งานกองทุน!J51"")"),45)</f>
        <v>45</v>
      </c>
      <c r="K824" s="497">
        <f t="shared" ca="1" si="336"/>
        <v>18.828451882845187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IFERROR(__xludf.DUMMYFUNCTION("IMPORTRANGE(""https://docs.google.com/spreadsheets/d/19vJNZY_5yjcGF2XGBMNZRCAIB0Kwfpjp8YEOfu-bneM/edit?usp=sharing"",""งานกองทุน!P51"")"),91188.06)</f>
        <v>91188.06</v>
      </c>
      <c r="K825" s="497">
        <f t="shared" ca="1" si="336"/>
        <v>27.184453226556784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IFERROR(__xludf.DUMMYFUNCTION("IMPORTRANGE(""https://docs.google.com/spreadsheets/d/19vJNZY_5yjcGF2XGBMNZRCAIB0Kwfpjp8YEOfu-bneM/edit?usp=sharing"",""งานกองทุน!O51"")"),87)</f>
        <v>87</v>
      </c>
      <c r="K826" s="497">
        <f t="shared" ca="1" si="336"/>
        <v>53.048780487804876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IFERROR(__xludf.DUMMYFUNCTION("IMPORTRANGE(""https://docs.google.com/spreadsheets/d/19vJNZY_5yjcGF2XGBMNZRCAIB0Kwfpjp8YEOfu-bneM/edit?usp=sharing"",""งานกองทุน!U51"")"),2410000)</f>
        <v>2410000</v>
      </c>
      <c r="K827" s="497">
        <f t="shared" ca="1" si="336"/>
        <v>27.893518518518519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IFERROR(__xludf.DUMMYFUNCTION("IMPORTRANGE(""https://docs.google.com/spreadsheets/d/19vJNZY_5yjcGF2XGBMNZRCAIB0Kwfpjp8YEOfu-bneM/edit?usp=sharing"",""งานกองทุน!R51"")"),267)</f>
        <v>267</v>
      </c>
      <c r="J828" s="500">
        <f ca="1">IFERROR(__xludf.DUMMYFUNCTION("IMPORTRANGE(""https://docs.google.com/spreadsheets/d/19vJNZY_5yjcGF2XGBMNZRCAIB0Kwfpjp8YEOfu-bneM/edit?usp=sharing"",""งานกองทุน!T51"")"),74)</f>
        <v>74</v>
      </c>
      <c r="K828" s="501">
        <f t="shared" ca="1" si="336"/>
        <v>27.715355805243444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DED9E-38AD-4222-BACD-528FD1E4919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336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3449762</v>
      </c>
      <c r="N8" s="22">
        <f t="shared" ca="1" si="0"/>
        <v>2371555.3099999996</v>
      </c>
      <c r="O8" s="22">
        <f t="shared" ref="O8:O16" ca="1" si="1">IF(L8&gt;0,N8*100/L8,0)</f>
        <v>37.973763247474437</v>
      </c>
      <c r="P8" s="22">
        <f t="shared" ref="P8:P16" ca="1" si="2">IF(M8&gt;0,N8*100/M8,0)</f>
        <v>68.745476064725622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3449762</v>
      </c>
      <c r="N10" s="30">
        <f t="shared" ca="1" si="3"/>
        <v>2371555.3099999996</v>
      </c>
      <c r="O10" s="30">
        <f t="shared" ca="1" si="1"/>
        <v>37.973763247474437</v>
      </c>
      <c r="P10" s="30">
        <f t="shared" ca="1" si="2"/>
        <v>68.745476064725622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6115247</v>
      </c>
      <c r="M11" s="497">
        <f t="shared" ca="1" si="4"/>
        <v>3320362</v>
      </c>
      <c r="N11" s="497">
        <f t="shared" ca="1" si="4"/>
        <v>2242155.3099999996</v>
      </c>
      <c r="O11" s="497">
        <f t="shared" ca="1" si="1"/>
        <v>36.664999958300946</v>
      </c>
      <c r="P11" s="497">
        <f t="shared" ca="1" si="2"/>
        <v>67.527435562748877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6115247</v>
      </c>
      <c r="M13" s="93">
        <f t="shared" ca="1" si="5"/>
        <v>3320362</v>
      </c>
      <c r="N13" s="93">
        <f t="shared" ca="1" si="5"/>
        <v>2242155.3099999996</v>
      </c>
      <c r="O13" s="93">
        <f t="shared" ca="1" si="1"/>
        <v>36.664999958300946</v>
      </c>
      <c r="P13" s="93">
        <f t="shared" ca="1" si="2"/>
        <v>67.527435562748877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3449762</v>
      </c>
      <c r="N18" s="22">
        <f t="shared" ca="1" si="8"/>
        <v>2068841.3299999998</v>
      </c>
      <c r="O18" s="22">
        <f t="shared" ref="O18:O26" ca="1" si="9">IF(L18&gt;0,N18*100/L18,0)</f>
        <v>45.114706341577438</v>
      </c>
      <c r="P18" s="22">
        <f t="shared" ref="P18:P26" ca="1" si="10">IF(M18&gt;0,N18*100/M18,0)</f>
        <v>59.970552461300223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3449762</v>
      </c>
      <c r="N20" s="30">
        <f t="shared" ca="1" si="11"/>
        <v>2068841.3299999998</v>
      </c>
      <c r="O20" s="30">
        <f t="shared" ca="1" si="9"/>
        <v>45.114706341577438</v>
      </c>
      <c r="P20" s="30">
        <f t="shared" ca="1" si="10"/>
        <v>59.970552461300223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3320362</v>
      </c>
      <c r="N21" s="497">
        <f t="shared" ca="1" si="12"/>
        <v>1939441.3299999998</v>
      </c>
      <c r="O21" s="497">
        <f t="shared" ca="1" si="9"/>
        <v>43.526845621015241</v>
      </c>
      <c r="P21" s="497">
        <f t="shared" ca="1" si="10"/>
        <v>58.410538670181133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4455736</v>
      </c>
      <c r="M23" s="93">
        <f t="shared" ca="1" si="13"/>
        <v>3320362</v>
      </c>
      <c r="N23" s="93">
        <f t="shared" ca="1" si="13"/>
        <v>1939441.3299999998</v>
      </c>
      <c r="O23" s="93">
        <f t="shared" ca="1" si="9"/>
        <v>43.526845621015241</v>
      </c>
      <c r="P23" s="93">
        <f t="shared" ca="1" si="10"/>
        <v>58.410538670181133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si="16"/>
        <v>0</v>
      </c>
      <c r="N28" s="22">
        <f t="shared" si="16"/>
        <v>302713.98</v>
      </c>
      <c r="O28" s="22">
        <f t="shared" ref="O28:O37" ca="1" si="17">IF(L28&gt;0,N28*100/L28,0)</f>
        <v>18.241155376493438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si="19"/>
        <v>0</v>
      </c>
      <c r="N30" s="30">
        <f t="shared" si="19"/>
        <v>302713.98</v>
      </c>
      <c r="O30" s="30">
        <f t="shared" ca="1" si="17"/>
        <v>18.241155376493438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1659511</v>
      </c>
      <c r="M31" s="497">
        <f t="shared" si="20"/>
        <v>0</v>
      </c>
      <c r="N31" s="497">
        <f t="shared" si="20"/>
        <v>302713.98</v>
      </c>
      <c r="O31" s="497">
        <f t="shared" ca="1" si="17"/>
        <v>18.241155376493438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1659511</v>
      </c>
      <c r="M33" s="93">
        <f t="shared" si="21"/>
        <v>0</v>
      </c>
      <c r="N33" s="93">
        <f t="shared" si="21"/>
        <v>302713.98</v>
      </c>
      <c r="O33" s="93">
        <f t="shared" ca="1" si="17"/>
        <v>18.241155376493438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4585736</v>
      </c>
      <c r="M37" s="843">
        <f t="shared" ca="1" si="24"/>
        <v>3449762</v>
      </c>
      <c r="N37" s="843">
        <f t="shared" ca="1" si="24"/>
        <v>2068841.3299999998</v>
      </c>
      <c r="O37" s="843">
        <f t="shared" ca="1" si="17"/>
        <v>45.114706341577438</v>
      </c>
      <c r="P37" s="843">
        <f t="shared" ca="1" si="18"/>
        <v>59.970552461300223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794107</v>
      </c>
      <c r="N41" s="85">
        <f t="shared" ca="1" si="25"/>
        <v>371316</v>
      </c>
      <c r="O41" s="85">
        <f t="shared" ref="O41:O49" ca="1" si="26">IF(L41&gt;0,N41*100/L41,0)</f>
        <v>47.058853349487862</v>
      </c>
      <c r="P41" s="85">
        <f t="shared" ref="P41:P49" ca="1" si="27">IF(M41&gt;0,N41*100/M41,0)</f>
        <v>46.758938027243182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794107</v>
      </c>
      <c r="N43" s="92">
        <f t="shared" ca="1" si="28"/>
        <v>371316</v>
      </c>
      <c r="O43" s="92">
        <f t="shared" ca="1" si="26"/>
        <v>47.058853349487862</v>
      </c>
      <c r="P43" s="92">
        <f t="shared" ca="1" si="27"/>
        <v>46.758938027243182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794107</v>
      </c>
      <c r="N44" s="497">
        <f t="shared" ca="1" si="29"/>
        <v>371316</v>
      </c>
      <c r="O44" s="497">
        <f t="shared" ca="1" si="26"/>
        <v>47.058853349487862</v>
      </c>
      <c r="P44" s="497">
        <f t="shared" ca="1" si="27"/>
        <v>46.758938027243182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IFERROR(__xludf.DUMMYFUNCTION("IMPORTRANGE(""https://docs.google.com/spreadsheets/d/1MeEWN-I1oV_STSDYn1IFDPWt_1FKiwhDph83XaGc0o0/edit?usp=sharing"",""งบพรบ!R33"")"),794107)</f>
        <v>794107</v>
      </c>
      <c r="N46" s="93">
        <f ca="1">IFERROR(__xludf.DUMMYFUNCTION("IMPORTRANGE(""https://docs.google.com/spreadsheets/d/1MeEWN-I1oV_STSDYn1IFDPWt_1FKiwhDph83XaGc0o0/edit?usp=sharing"",""งบพรบ!T33"")"),371316)</f>
        <v>371316</v>
      </c>
      <c r="O46" s="93">
        <f t="shared" ca="1" si="26"/>
        <v>47.058853349487862</v>
      </c>
      <c r="P46" s="93">
        <f t="shared" ca="1" si="27"/>
        <v>46.758938027243182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699475</v>
      </c>
      <c r="N53" s="116">
        <f t="shared" ca="1" si="31"/>
        <v>449724</v>
      </c>
      <c r="O53" s="116">
        <f t="shared" ref="O53:O61" ca="1" si="32">IF(L53&gt;0,N53*100/L53,0)</f>
        <v>48.782297429222261</v>
      </c>
      <c r="P53" s="116">
        <f t="shared" ref="P53:P61" ca="1" si="33">IF(M53&gt;0,N53*100/M53,0)</f>
        <v>64.294506594231393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699475</v>
      </c>
      <c r="N55" s="123">
        <f t="shared" ca="1" si="34"/>
        <v>449724</v>
      </c>
      <c r="O55" s="123">
        <f t="shared" ca="1" si="32"/>
        <v>48.782297429222261</v>
      </c>
      <c r="P55" s="123">
        <f t="shared" ca="1" si="33"/>
        <v>64.294506594231393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667275</v>
      </c>
      <c r="N56" s="497">
        <f t="shared" ca="1" si="35"/>
        <v>417524</v>
      </c>
      <c r="O56" s="497">
        <f t="shared" ca="1" si="32"/>
        <v>46.928627627290098</v>
      </c>
      <c r="P56" s="497">
        <f t="shared" ca="1" si="33"/>
        <v>62.571503503053464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IFERROR(__xludf.DUMMYFUNCTION("IMPORTRANGE(""https://docs.google.com/spreadsheets/d/1MeEWN-I1oV_STSDYn1IFDPWt_1FKiwhDph83XaGc0o0/edit?usp=sharing"",""งบพรบ!AB33"")"),667275)</f>
        <v>667275</v>
      </c>
      <c r="N58" s="93">
        <f ca="1">IFERROR(__xludf.DUMMYFUNCTION("IMPORTRANGE(""https://docs.google.com/spreadsheets/d/1MeEWN-I1oV_STSDYn1IFDPWt_1FKiwhDph83XaGc0o0/edit?usp=sharing"",""งบพรบ!AD33"")"),417524)</f>
        <v>417524</v>
      </c>
      <c r="O58" s="93">
        <f t="shared" ca="1" si="32"/>
        <v>46.928627627290098</v>
      </c>
      <c r="P58" s="93">
        <f t="shared" ca="1" si="33"/>
        <v>62.571503503053464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668700</v>
      </c>
      <c r="N66" s="155">
        <f t="shared" ca="1" si="39"/>
        <v>424287.98</v>
      </c>
      <c r="O66" s="155">
        <f t="shared" ref="O66:O74" ca="1" si="40">IF(L66&gt;0,N66*100/L66,0)</f>
        <v>41.925689723320161</v>
      </c>
      <c r="P66" s="155">
        <f t="shared" ref="P66:P74" ca="1" si="41">IF(M66&gt;0,N66*100/M66,0)</f>
        <v>63.449675489756245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1012000</v>
      </c>
      <c r="M68" s="93">
        <f t="shared" ca="1" si="42"/>
        <v>668700</v>
      </c>
      <c r="N68" s="93">
        <f t="shared" ca="1" si="42"/>
        <v>424287.98</v>
      </c>
      <c r="O68" s="93">
        <f t="shared" ca="1" si="40"/>
        <v>41.925689723320161</v>
      </c>
      <c r="P68" s="93">
        <f t="shared" ca="1" si="41"/>
        <v>63.449675489756245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668700</v>
      </c>
      <c r="N69" s="497">
        <f t="shared" ca="1" si="43"/>
        <v>424287.98</v>
      </c>
      <c r="O69" s="497">
        <f t="shared" ca="1" si="40"/>
        <v>41.925689723320161</v>
      </c>
      <c r="P69" s="497">
        <f t="shared" ca="1" si="41"/>
        <v>63.449675489756245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IFERROR(__xludf.DUMMYFUNCTION("IMPORTRANGE(""https://docs.google.com/spreadsheets/d/1MeEWN-I1oV_STSDYn1IFDPWt_1FKiwhDph83XaGc0o0/edit?usp=sharing"",""งบพรบ!AL33"")"),668700)</f>
        <v>668700</v>
      </c>
      <c r="N71" s="93">
        <f ca="1">IFERROR(__xludf.DUMMYFUNCTION("IMPORTRANGE(""https://docs.google.com/spreadsheets/d/1MeEWN-I1oV_STSDYn1IFDPWt_1FKiwhDph83XaGc0o0/edit?usp=sharing"",""งบพรบ!AN33"")"),424287.98)</f>
        <v>424287.98</v>
      </c>
      <c r="O71" s="93">
        <f t="shared" ca="1" si="40"/>
        <v>41.925689723320161</v>
      </c>
      <c r="P71" s="93">
        <f t="shared" ca="1" si="41"/>
        <v>63.449675489756245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101480</v>
      </c>
      <c r="N88" s="155">
        <f t="shared" ca="1" si="49"/>
        <v>65847.88</v>
      </c>
      <c r="O88" s="155">
        <f t="shared" ref="O88:O96" ca="1" si="50">IF(L88&gt;0,N88*100/L88,0)</f>
        <v>59.22637164957726</v>
      </c>
      <c r="P88" s="155">
        <f t="shared" ref="P88:P96" ca="1" si="51">IF(M88&gt;0,N88*100/M88,0)</f>
        <v>64.887544343713046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111180</v>
      </c>
      <c r="M90" s="93">
        <f t="shared" ca="1" si="52"/>
        <v>101480</v>
      </c>
      <c r="N90" s="93">
        <f t="shared" ca="1" si="52"/>
        <v>65847.88</v>
      </c>
      <c r="O90" s="93">
        <f t="shared" ca="1" si="50"/>
        <v>59.22637164957726</v>
      </c>
      <c r="P90" s="93">
        <f t="shared" ca="1" si="51"/>
        <v>64.887544343713046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101480</v>
      </c>
      <c r="N91" s="497">
        <f t="shared" ca="1" si="53"/>
        <v>65847.88</v>
      </c>
      <c r="O91" s="497">
        <f t="shared" ca="1" si="50"/>
        <v>59.22637164957726</v>
      </c>
      <c r="P91" s="497">
        <f t="shared" ca="1" si="51"/>
        <v>64.887544343713046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IFERROR(__xludf.DUMMYFUNCTION("IMPORTRANGE(""https://docs.google.com/spreadsheets/d/1MeEWN-I1oV_STSDYn1IFDPWt_1FKiwhDph83XaGc0o0/edit?usp=sharing"",""งบพรบ!AV33"")"),101480)</f>
        <v>101480</v>
      </c>
      <c r="N93" s="93">
        <f ca="1">IFERROR(__xludf.DUMMYFUNCTION("IMPORTRANGE(""https://docs.google.com/spreadsheets/d/1MeEWN-I1oV_STSDYn1IFDPWt_1FKiwhDph83XaGc0o0/edit?usp=sharing"",""งบพรบ!AX33"")"),65847.88)</f>
        <v>65847.88</v>
      </c>
      <c r="O93" s="93">
        <f t="shared" ca="1" si="50"/>
        <v>59.22637164957726</v>
      </c>
      <c r="P93" s="93">
        <f t="shared" ca="1" si="51"/>
        <v>64.887544343713046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21010</v>
      </c>
      <c r="O165" s="155">
        <f t="shared" ref="O165:O173" ca="1" si="85">IF(L165&gt;0,N165*100/L165,0)</f>
        <v>99.809976247030875</v>
      </c>
      <c r="P165" s="155">
        <f t="shared" ref="P165:P173" ca="1" si="86">IF(M165&gt;0,N165*100/M165,0)</f>
        <v>99.809976247030875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21010</v>
      </c>
      <c r="O167" s="93">
        <f t="shared" ca="1" si="85"/>
        <v>99.809976247030875</v>
      </c>
      <c r="P167" s="93">
        <f t="shared" ca="1" si="86"/>
        <v>99.809976247030875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21010</v>
      </c>
      <c r="O168" s="497">
        <f t="shared" ca="1" si="85"/>
        <v>99.809976247030875</v>
      </c>
      <c r="P168" s="497">
        <f t="shared" ca="1" si="86"/>
        <v>99.809976247030875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IFERROR(__xludf.DUMMYFUNCTION("IMPORTRANGE(""https://docs.google.com/spreadsheets/d/1MeEWN-I1oV_STSDYn1IFDPWt_1FKiwhDph83XaGc0o0/edit?usp=sharing"",""งบพรบ!CL33"")"),21010)</f>
        <v>21010</v>
      </c>
      <c r="O170" s="93">
        <f t="shared" ca="1" si="85"/>
        <v>99.809976247030875</v>
      </c>
      <c r="P170" s="93">
        <f t="shared" ca="1" si="86"/>
        <v>99.809976247030875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81300</v>
      </c>
      <c r="N181" s="155">
        <f t="shared" ca="1" si="92"/>
        <v>32800</v>
      </c>
      <c r="O181" s="155">
        <f t="shared" ref="O181:O189" ca="1" si="93">IF(L181&gt;0,N181*100/L181,0)</f>
        <v>51.653543307086615</v>
      </c>
      <c r="P181" s="155">
        <f t="shared" ref="P181:P189" ca="1" si="94">IF(M181&gt;0,N181*100/M181,0)</f>
        <v>40.344403444034441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63500</v>
      </c>
      <c r="M183" s="93">
        <f t="shared" ca="1" si="95"/>
        <v>81300</v>
      </c>
      <c r="N183" s="93">
        <f t="shared" ca="1" si="95"/>
        <v>32800</v>
      </c>
      <c r="O183" s="93">
        <f t="shared" ca="1" si="93"/>
        <v>51.653543307086615</v>
      </c>
      <c r="P183" s="93">
        <f t="shared" ca="1" si="94"/>
        <v>40.344403444034441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81300</v>
      </c>
      <c r="N184" s="497">
        <f t="shared" ca="1" si="96"/>
        <v>32800</v>
      </c>
      <c r="O184" s="497">
        <f t="shared" ca="1" si="93"/>
        <v>51.653543307086615</v>
      </c>
      <c r="P184" s="497">
        <f t="shared" ca="1" si="94"/>
        <v>40.344403444034441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IFERROR(__xludf.DUMMYFUNCTION("IMPORTRANGE(""https://docs.google.com/spreadsheets/d/1MeEWN-I1oV_STSDYn1IFDPWt_1FKiwhDph83XaGc0o0/edit?usp=sharing"",""งบพรบ!CT33"")"),81300)</f>
        <v>81300</v>
      </c>
      <c r="N186" s="93">
        <f ca="1">IFERROR(__xludf.DUMMYFUNCTION("IMPORTRANGE(""https://docs.google.com/spreadsheets/d/1MeEWN-I1oV_STSDYn1IFDPWt_1FKiwhDph83XaGc0o0/edit?usp=sharing"",""งบพรบ!CV33"")"),32800)</f>
        <v>32800</v>
      </c>
      <c r="O186" s="93">
        <f t="shared" ca="1" si="93"/>
        <v>51.653543307086615</v>
      </c>
      <c r="P186" s="93">
        <f t="shared" ca="1" si="94"/>
        <v>40.344403444034441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4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27700</v>
      </c>
      <c r="N261" s="155">
        <f t="shared" ca="1" si="116"/>
        <v>25340</v>
      </c>
      <c r="O261" s="155">
        <f t="shared" ref="O261:O269" ca="1" si="117">IF(L261&gt;0,N261*100/L261,0)</f>
        <v>82.54071661237785</v>
      </c>
      <c r="P261" s="155">
        <f t="shared" ref="P261:P269" ca="1" si="118">IF(M261&gt;0,N261*100/M261,0)</f>
        <v>91.480144404332137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30700</v>
      </c>
      <c r="M263" s="93">
        <f t="shared" ca="1" si="119"/>
        <v>27700</v>
      </c>
      <c r="N263" s="93">
        <f t="shared" ca="1" si="119"/>
        <v>25340</v>
      </c>
      <c r="O263" s="93">
        <f t="shared" ca="1" si="117"/>
        <v>82.54071661237785</v>
      </c>
      <c r="P263" s="93">
        <f t="shared" ca="1" si="118"/>
        <v>91.480144404332137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27700</v>
      </c>
      <c r="N264" s="497">
        <f t="shared" ca="1" si="120"/>
        <v>25340</v>
      </c>
      <c r="O264" s="497">
        <f t="shared" ca="1" si="117"/>
        <v>82.54071661237785</v>
      </c>
      <c r="P264" s="497">
        <f t="shared" ca="1" si="118"/>
        <v>91.480144404332137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IFERROR(__xludf.DUMMYFUNCTION("IMPORTRANGE(""https://docs.google.com/spreadsheets/d/1MeEWN-I1oV_STSDYn1IFDPWt_1FKiwhDph83XaGc0o0/edit?usp=sharing"",""งบพรบ!DD33"")"),27700)</f>
        <v>27700</v>
      </c>
      <c r="N266" s="93">
        <f ca="1">IFERROR(__xludf.DUMMYFUNCTION("IMPORTRANGE(""https://docs.google.com/spreadsheets/d/1MeEWN-I1oV_STSDYn1IFDPWt_1FKiwhDph83XaGc0o0/edit?usp=sharing"",""งบพรบ!DF33"")"),25340)</f>
        <v>25340</v>
      </c>
      <c r="O266" s="93">
        <f t="shared" ca="1" si="117"/>
        <v>82.54071661237785</v>
      </c>
      <c r="P266" s="93">
        <f t="shared" ca="1" si="118"/>
        <v>91.480144404332137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300</v>
      </c>
      <c r="J276" s="855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186980</v>
      </c>
      <c r="N277" s="155">
        <f t="shared" ca="1" si="125"/>
        <v>145989.4</v>
      </c>
      <c r="O277" s="155">
        <f t="shared" ref="O277:O285" ca="1" si="126">IF(L277&gt;0,N277*100/L277,0)</f>
        <v>50.636259581700251</v>
      </c>
      <c r="P277" s="155">
        <f t="shared" ref="P277:P285" ca="1" si="127">IF(M277&gt;0,N277*100/M277,0)</f>
        <v>78.077548400898493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288310</v>
      </c>
      <c r="M279" s="93">
        <f t="shared" ca="1" si="128"/>
        <v>186980</v>
      </c>
      <c r="N279" s="93">
        <f t="shared" ca="1" si="128"/>
        <v>145989.4</v>
      </c>
      <c r="O279" s="93">
        <f t="shared" ca="1" si="126"/>
        <v>50.636259581700251</v>
      </c>
      <c r="P279" s="93">
        <f t="shared" ca="1" si="127"/>
        <v>78.077548400898493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186980</v>
      </c>
      <c r="N280" s="497">
        <f t="shared" ca="1" si="129"/>
        <v>145989.4</v>
      </c>
      <c r="O280" s="497">
        <f t="shared" ca="1" si="126"/>
        <v>50.636259581700251</v>
      </c>
      <c r="P280" s="497">
        <f t="shared" ca="1" si="127"/>
        <v>78.077548400898493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IFERROR(__xludf.DUMMYFUNCTION("IMPORTRANGE(""https://docs.google.com/spreadsheets/d/1MeEWN-I1oV_STSDYn1IFDPWt_1FKiwhDph83XaGc0o0/edit?usp=sharing"",""งบพรบ!DN33"")"),186980)</f>
        <v>186980</v>
      </c>
      <c r="N282" s="93">
        <f ca="1">IFERROR(__xludf.DUMMYFUNCTION("IMPORTRANGE(""https://docs.google.com/spreadsheets/d/1MeEWN-I1oV_STSDYn1IFDPWt_1FKiwhDph83XaGc0o0/edit?usp=sharing"",""งบพรบ!DP33"")"),145989.4)</f>
        <v>145989.4</v>
      </c>
      <c r="O282" s="93">
        <f t="shared" ca="1" si="126"/>
        <v>50.636259581700251</v>
      </c>
      <c r="P282" s="93">
        <f t="shared" ca="1" si="127"/>
        <v>78.077548400898493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IFERROR(__xludf.DUMMYFUNCTION("IMPORTRANGE(""https://docs.google.com/spreadsheets/d/1QqKyyYR6Q21VydFLVH3TRQUabQu_ym0Zz7PgGX0-kHA/edit?usp=sharing"",""แผน!EB33"")"),30)</f>
        <v>30</v>
      </c>
      <c r="J288" s="675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49120</v>
      </c>
      <c r="N298" s="155">
        <f t="shared" ca="1" si="135"/>
        <v>4920</v>
      </c>
      <c r="O298" s="155">
        <f t="shared" ref="O298:O306" ca="1" si="136">IF(L298&gt;0,N298*100/L298,0)</f>
        <v>5.9708737864077666</v>
      </c>
      <c r="P298" s="155">
        <f t="shared" ref="P298:P306" ca="1" si="137">IF(M298&gt;0,N298*100/M298,0)</f>
        <v>10.016286644951141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82400</v>
      </c>
      <c r="M300" s="93">
        <f t="shared" ca="1" si="138"/>
        <v>49120</v>
      </c>
      <c r="N300" s="93">
        <f t="shared" ca="1" si="138"/>
        <v>4920</v>
      </c>
      <c r="O300" s="93">
        <f t="shared" ca="1" si="136"/>
        <v>5.9708737864077666</v>
      </c>
      <c r="P300" s="93">
        <f t="shared" ca="1" si="137"/>
        <v>10.016286644951141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49120</v>
      </c>
      <c r="N301" s="497">
        <f t="shared" ca="1" si="139"/>
        <v>4920</v>
      </c>
      <c r="O301" s="497">
        <f t="shared" ca="1" si="136"/>
        <v>5.9708737864077666</v>
      </c>
      <c r="P301" s="497">
        <f t="shared" ca="1" si="137"/>
        <v>10.016286644951141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IFERROR(__xludf.DUMMYFUNCTION("IMPORTRANGE(""https://docs.google.com/spreadsheets/d/1MeEWN-I1oV_STSDYn1IFDPWt_1FKiwhDph83XaGc0o0/edit?usp=sharing"",""งบพรบ!DX33"")"),49120)</f>
        <v>49120</v>
      </c>
      <c r="N303" s="93">
        <f ca="1">IFERROR(__xludf.DUMMYFUNCTION("IMPORTRANGE(""https://docs.google.com/spreadsheets/d/1MeEWN-I1oV_STSDYn1IFDPWt_1FKiwhDph83XaGc0o0/edit?usp=sharing"",""งบพรบ!DZ33"")"),4920)</f>
        <v>4920</v>
      </c>
      <c r="O303" s="93">
        <f t="shared" ca="1" si="136"/>
        <v>5.9708737864077666</v>
      </c>
      <c r="P303" s="93">
        <f t="shared" ca="1" si="137"/>
        <v>10.016286644951141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1996</v>
      </c>
      <c r="K327" s="445">
        <f ca="1">IF(I327&gt;0,J327*100/I327,0)</f>
        <v>46.418604651162788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91500</v>
      </c>
      <c r="N328" s="155">
        <f t="shared" ca="1" si="149"/>
        <v>35348</v>
      </c>
      <c r="O328" s="155">
        <f t="shared" ref="O328:O336" ca="1" si="150">IF(L328&gt;0,N328*100/L328,0)</f>
        <v>19.315846994535519</v>
      </c>
      <c r="P328" s="155">
        <f t="shared" ref="P328:P336" ca="1" si="151">IF(M328&gt;0,N328*100/M328,0)</f>
        <v>38.631693989071039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183000</v>
      </c>
      <c r="M330" s="93">
        <f t="shared" ca="1" si="152"/>
        <v>91500</v>
      </c>
      <c r="N330" s="93">
        <f t="shared" ca="1" si="152"/>
        <v>35348</v>
      </c>
      <c r="O330" s="93">
        <f t="shared" ca="1" si="150"/>
        <v>19.315846994535519</v>
      </c>
      <c r="P330" s="93">
        <f t="shared" ca="1" si="151"/>
        <v>38.631693989071039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91500</v>
      </c>
      <c r="N331" s="497">
        <f t="shared" ca="1" si="153"/>
        <v>35348</v>
      </c>
      <c r="O331" s="497">
        <f t="shared" ca="1" si="150"/>
        <v>19.315846994535519</v>
      </c>
      <c r="P331" s="497">
        <f t="shared" ca="1" si="151"/>
        <v>38.631693989071039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IFERROR(__xludf.DUMMYFUNCTION("IMPORTRANGE(""https://docs.google.com/spreadsheets/d/1MeEWN-I1oV_STSDYn1IFDPWt_1FKiwhDph83XaGc0o0/edit?usp=sharing"",""งบพรบ!ER33"")"),91500)</f>
        <v>91500</v>
      </c>
      <c r="N333" s="93">
        <f ca="1">IFERROR(__xludf.DUMMYFUNCTION("IMPORTRANGE(""https://docs.google.com/spreadsheets/d/1MeEWN-I1oV_STSDYn1IFDPWt_1FKiwhDph83XaGc0o0/edit?usp=sharing"",""งบพรบ!ET33"")"),35348)</f>
        <v>35348</v>
      </c>
      <c r="O333" s="93">
        <f t="shared" ca="1" si="150"/>
        <v>19.315846994535519</v>
      </c>
      <c r="P333" s="93">
        <f t="shared" ca="1" si="151"/>
        <v>38.631693989071039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IFERROR(__xludf.DUMMYFUNCTION("IMPORTRANGE(""https://docs.google.com/spreadsheets/d/1kVcqe37tkHyjCSG3S0O1AXqVkqjo8mSIZil3BcpIysc/edit?usp=sharing"",""ศูนย์!D33"")"),1818)</f>
        <v>1818</v>
      </c>
      <c r="K338" s="497">
        <f ca="1">IF(I338&gt;0,J338*100/I338,0)</f>
        <v>42.279069767441861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IFERROR(__xludf.DUMMYFUNCTION("IMPORTRANGE(""https://docs.google.com/spreadsheets/d/1kVcqe37tkHyjCSG3S0O1AXqVkqjo8mSIZil3BcpIysc/edit?usp=sharing"",""ศูนย์!E33"")"),5)</f>
        <v>5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IFERROR(__xludf.DUMMYFUNCTION("IMPORTRANGE(""https://docs.google.com/spreadsheets/d/1kVcqe37tkHyjCSG3S0O1AXqVkqjo8mSIZil3BcpIysc/edit?usp=sharing"",""ศูนย์!F33"")"),178)</f>
        <v>178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728350</v>
      </c>
      <c r="N345" s="155">
        <f t="shared" ca="1" si="155"/>
        <v>492258.07</v>
      </c>
      <c r="O345" s="155">
        <f t="shared" ref="O345:O353" ca="1" si="156">IF(L345&gt;0,N345*100/L345,0)</f>
        <v>45.467886205144787</v>
      </c>
      <c r="P345" s="155">
        <f t="shared" ref="P345:P353" ca="1" si="157">IF(M345&gt;0,N345*100/M345,0)</f>
        <v>67.585373790073447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1082650</v>
      </c>
      <c r="M347" s="93">
        <f t="shared" ca="1" si="158"/>
        <v>728350</v>
      </c>
      <c r="N347" s="93">
        <f t="shared" ca="1" si="158"/>
        <v>492258.07</v>
      </c>
      <c r="O347" s="93">
        <f t="shared" ca="1" si="156"/>
        <v>45.467886205144787</v>
      </c>
      <c r="P347" s="93">
        <f t="shared" ca="1" si="157"/>
        <v>67.585373790073447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631150</v>
      </c>
      <c r="N348" s="497">
        <f t="shared" ca="1" si="159"/>
        <v>395058.07</v>
      </c>
      <c r="O348" s="497">
        <f t="shared" ca="1" si="156"/>
        <v>40.113526933035487</v>
      </c>
      <c r="P348" s="497">
        <f t="shared" ca="1" si="157"/>
        <v>62.59337241543215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IFERROR(__xludf.DUMMYFUNCTION("IMPORTRANGE(""https://docs.google.com/spreadsheets/d/1MeEWN-I1oV_STSDYn1IFDPWt_1FKiwhDph83XaGc0o0/edit?usp=sharing"",""งบพรบ!FB33"")"),631150)</f>
        <v>631150</v>
      </c>
      <c r="N350" s="93">
        <f ca="1">IFERROR(__xludf.DUMMYFUNCTION("IMPORTRANGE(""https://docs.google.com/spreadsheets/d/1MeEWN-I1oV_STSDYn1IFDPWt_1FKiwhDph83XaGc0o0/edit?usp=sharing"",""งบพรบ!FD33"")"),395058.07)</f>
        <v>395058.07</v>
      </c>
      <c r="O350" s="93">
        <f t="shared" ca="1" si="156"/>
        <v>40.113526933035487</v>
      </c>
      <c r="P350" s="93">
        <f t="shared" ca="1" si="157"/>
        <v>62.59337241543215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80</v>
      </c>
      <c r="K355" s="465">
        <f ca="1">IF(I355&gt;0,J355*100/I355,0)</f>
        <v>17.777777777777779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IFERROR(__xludf.DUMMYFUNCTION("IMPORTRANGE(""https://docs.google.com/spreadsheets/d/1XWAQStnk-4SwqDmLtmXYiTMKHgktTP8We1SCoS47DrQ/edit?usp=sharing"",""จัดที่ดิน!W33"")"),119)</f>
        <v>119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IFERROR(__xludf.DUMMYFUNCTION("IMPORTRANGE(""https://docs.google.com/spreadsheets/d/1XWAQStnk-4SwqDmLtmXYiTMKHgktTP8We1SCoS47DrQ/edit?usp=sharing"",""จัดที่ดิน!X33"")"),1024.8)</f>
        <v>1024.8</v>
      </c>
      <c r="K359" s="497">
        <f t="shared" ca="1" si="161"/>
        <v>22.773333333333333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IFERROR(__xludf.DUMMYFUNCTION("IMPORTRANGE(""https://docs.google.com/spreadsheets/d/1XWAQStnk-4SwqDmLtmXYiTMKHgktTP8We1SCoS47DrQ/edit?usp=sharing"",""จัดที่ดิน!Y33"")"),88)</f>
        <v>88</v>
      </c>
      <c r="K360" s="497">
        <f t="shared" ca="1" si="161"/>
        <v>19.555555555555557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IFERROR(__xludf.DUMMYFUNCTION("IMPORTRANGE(""https://docs.google.com/spreadsheets/d/1XWAQStnk-4SwqDmLtmXYiTMKHgktTP8We1SCoS47DrQ/edit?usp=sharing"",""จัดที่ดิน!Z33"")"),733.12)</f>
        <v>733.12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IFERROR(__xludf.DUMMYFUNCTION("IMPORTRANGE(""https://docs.google.com/spreadsheets/d/1XWAQStnk-4SwqDmLtmXYiTMKHgktTP8We1SCoS47DrQ/edit?usp=sharing"",""จัดที่ดิน!AA33"")"),80)</f>
        <v>80</v>
      </c>
      <c r="K362" s="497">
        <f t="shared" ca="1" si="161"/>
        <v>17.777777777777779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IFERROR(__xludf.DUMMYFUNCTION("IMPORTRANGE(""https://docs.google.com/spreadsheets/d/1XWAQStnk-4SwqDmLtmXYiTMKHgktTP8We1SCoS47DrQ/edit?usp=sharing"",""จัดที่ดิน!AB33"")"),698.17)</f>
        <v>698.17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950</v>
      </c>
      <c r="J364" s="478">
        <f t="shared" ca="1" si="162"/>
        <v>414</v>
      </c>
      <c r="K364" s="479">
        <f t="shared" ca="1" si="161"/>
        <v>43.578947368421055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IFERROR(__xludf.DUMMYFUNCTION("IMPORTRANGE(""https://docs.google.com/spreadsheets/d/1XWAQStnk-4SwqDmLtmXYiTMKHgktTP8We1SCoS47DrQ/edit?usp=sharing"",""จัดที่ดิน!E33"")"),39)</f>
        <v>39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IFERROR(__xludf.DUMMYFUNCTION("IMPORTRANGE(""https://docs.google.com/spreadsheets/d/1XWAQStnk-4SwqDmLtmXYiTMKHgktTP8We1SCoS47DrQ/edit?usp=sharing"",""จัดที่ดิน!F33"")"),326.63)</f>
        <v>326.63</v>
      </c>
      <c r="K369" s="497">
        <f t="shared" ca="1" si="163"/>
        <v>32.662999999999997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IFERROR(__xludf.DUMMYFUNCTION("IMPORTRANGE(""https://docs.google.com/spreadsheets/d/1XWAQStnk-4SwqDmLtmXYiTMKHgktTP8We1SCoS47DrQ/edit?usp=sharing"",""จัดที่ดิน!G33"")"),8)</f>
        <v>8</v>
      </c>
      <c r="K370" s="497">
        <f t="shared" ca="1" si="163"/>
        <v>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IFERROR(__xludf.DUMMYFUNCTION("IMPORTRANGE(""https://docs.google.com/spreadsheets/d/1XWAQStnk-4SwqDmLtmXYiTMKHgktTP8We1SCoS47DrQ/edit?usp=sharing"",""จัดที่ดิน!H33"")"),34.95)</f>
        <v>34.950000000000003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IFERROR(__xludf.DUMMYFUNCTION("IMPORTRANGE(""https://docs.google.com/spreadsheets/d/1QqKyyYR6Q21VydFLVH3TRQUabQu_ym0Zz7PgGX0-kHA/edit?usp=sharing"",""แผน!EU33"")"),850)</f>
        <v>850</v>
      </c>
      <c r="J374" s="490">
        <f ca="1">J381</f>
        <v>414</v>
      </c>
      <c r="K374" s="491">
        <f t="shared" ca="1" si="163"/>
        <v>48.705882352941174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IFERROR(__xludf.DUMMYFUNCTION("IMPORTRANGE(""https://docs.google.com/spreadsheets/d/1XWAQStnk-4SwqDmLtmXYiTMKHgktTP8We1SCoS47DrQ/edit?usp=sharing"",""จัดที่ดิน!AH33"")"),80)</f>
        <v>80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IFERROR(__xludf.DUMMYFUNCTION("IMPORTRANGE(""https://docs.google.com/spreadsheets/d/1XWAQStnk-4SwqDmLtmXYiTMKHgktTP8We1SCoS47DrQ/edit?usp=sharing"",""จัดที่ดิน!AI33"")"),698.17)</f>
        <v>698.17</v>
      </c>
      <c r="K378" s="497">
        <f t="shared" ca="1" si="164"/>
        <v>19.947714285714287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IFERROR(__xludf.DUMMYFUNCTION("IMPORTRANGE(""https://docs.google.com/spreadsheets/d/1QqKyyYR6Q21VydFLVH3TRQUabQu_ym0Zz7PgGX0-kHA/edit?usp=sharing"",""แผน!EU33"")"),850)</f>
        <v>850</v>
      </c>
      <c r="J379" s="270">
        <f ca="1">IFERROR(__xludf.DUMMYFUNCTION("IMPORTRANGE(""https://docs.google.com/spreadsheets/d/1XWAQStnk-4SwqDmLtmXYiTMKHgktTP8We1SCoS47DrQ/edit?usp=sharing"",""จัดที่ดิน!AJ33"")"),502)</f>
        <v>502</v>
      </c>
      <c r="K379" s="497">
        <f t="shared" ca="1" si="164"/>
        <v>59.058823529411768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IFERROR(__xludf.DUMMYFUNCTION("IMPORTRANGE(""https://docs.google.com/spreadsheets/d/1XWAQStnk-4SwqDmLtmXYiTMKHgktTP8We1SCoS47DrQ/edit?usp=sharing"",""จัดที่ดิน!AK33"")"),5966.86)</f>
        <v>5966.86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IFERROR(__xludf.DUMMYFUNCTION("IMPORTRANGE(""https://docs.google.com/spreadsheets/d/1QqKyyYR6Q21VydFLVH3TRQUabQu_ym0Zz7PgGX0-kHA/edit?usp=sharing"",""แผน!EU33"")"),850)</f>
        <v>850</v>
      </c>
      <c r="J381" s="270">
        <f ca="1">IFERROR(__xludf.DUMMYFUNCTION("IMPORTRANGE(""https://docs.google.com/spreadsheets/d/1XWAQStnk-4SwqDmLtmXYiTMKHgktTP8We1SCoS47DrQ/edit?usp=sharing"",""จัดที่ดิน!AL33"")"),414)</f>
        <v>414</v>
      </c>
      <c r="K381" s="497">
        <f t="shared" ca="1" si="164"/>
        <v>48.705882352941174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IFERROR(__xludf.DUMMYFUNCTION("IMPORTRANGE(""https://docs.google.com/spreadsheets/d/1XWAQStnk-4SwqDmLtmXYiTMKHgktTP8We1SCoS47DrQ/edit?usp=sharing"",""จัดที่ดิน!AM33"")"),4729.1)</f>
        <v>4729.1000000000004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IFERROR(__xludf.DUMMYFUNCTION("IMPORTRANGE(""https://docs.google.com/spreadsheets/d/1QqKyyYR6Q21VydFLVH3TRQUabQu_ym0Zz7PgGX0-kHA/edit?usp=sharing"",""แผน!EW33"")"),20)</f>
        <v>20</v>
      </c>
      <c r="J385" s="500">
        <f ca="1">IFERROR(__xludf.DUMMYFUNCTION("IMPORTRANGE(""https://docs.google.com/spreadsheets/d/1XWAQStnk-4SwqDmLtmXYiTMKHgktTP8We1SCoS47DrQ/edit?usp=sharing"",""จัดที่ดิน!AP33"")"),0)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1659511</v>
      </c>
      <c r="M414" s="548">
        <f t="shared" si="181"/>
        <v>0</v>
      </c>
      <c r="N414" s="548">
        <f t="shared" si="181"/>
        <v>302713.98</v>
      </c>
      <c r="O414" s="548">
        <f ca="1">IF(L414&gt;0,N414*100/L414,0)</f>
        <v>18.241155376493438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23060</v>
      </c>
      <c r="O419" s="155">
        <f t="shared" ref="O419:O424" ca="1" si="185">IF(L419&gt;0,N419*100/L419,0)</f>
        <v>29.316043732519706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23060</v>
      </c>
      <c r="O421" s="93">
        <f t="shared" ca="1" si="185"/>
        <v>29.316043732519706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23060</v>
      </c>
      <c r="O422" s="497">
        <f t="shared" ca="1" si="185"/>
        <v>29.316043732519706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v>0</v>
      </c>
      <c r="N424" s="93">
        <f>N425+N426+N427+N428</f>
        <v>23060</v>
      </c>
      <c r="O424" s="93">
        <f t="shared" ca="1" si="185"/>
        <v>29.316043732519706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23060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IFERROR(__xludf.DUMMYFUNCTION("IMPORTRANGE(""https://docs.google.com/spreadsheets/d/1QqKyyYR6Q21VydFLVH3TRQUabQu_ym0Zz7PgGX0-kHA/edit?usp=sharing"",""แผน!FC33"")"),20)</f>
        <v>20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IFERROR(__xludf.DUMMYFUNCTION("IMPORTRANGE(""https://docs.google.com/spreadsheets/d/1QqKyyYR6Q21VydFLVH3TRQUabQu_ym0Zz7PgGX0-kHA/edit?usp=sharing"",""แผน!FD33"")"),0)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IFERROR(__xludf.DUMMYFUNCTION("IMPORTRANGE(""https://docs.google.com/spreadsheets/d/1QqKyyYR6Q21VydFLVH3TRQUabQu_ym0Zz7PgGX0-kHA/edit?usp=sharing"",""แผน!FF33"")"),20)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55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95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si="197"/>
        <v>0</v>
      </c>
      <c r="N444" s="195">
        <f t="shared" si="197"/>
        <v>69713.98000000001</v>
      </c>
      <c r="O444" s="195">
        <f t="shared" ref="O444:O449" ca="1" si="198">IF(L444&gt;0,N444*100/L444,0)</f>
        <v>18.622673968211569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374350</v>
      </c>
      <c r="M446" s="93">
        <f t="shared" si="200"/>
        <v>0</v>
      </c>
      <c r="N446" s="93">
        <f t="shared" si="200"/>
        <v>69713.98000000001</v>
      </c>
      <c r="O446" s="93">
        <f t="shared" ca="1" si="198"/>
        <v>18.622673968211569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si="201"/>
        <v>0</v>
      </c>
      <c r="N447" s="497">
        <f t="shared" si="201"/>
        <v>69713.98000000001</v>
      </c>
      <c r="O447" s="497">
        <f t="shared" ca="1" si="198"/>
        <v>18.622673968211569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v>0</v>
      </c>
      <c r="N449" s="93">
        <f>N450+N451+N452+N453</f>
        <v>69713.98000000001</v>
      </c>
      <c r="O449" s="93">
        <f t="shared" ca="1" si="198"/>
        <v>18.622673968211569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50713.98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19000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IFERROR(__xludf.DUMMYFUNCTION("IMPORTRANGE(""https://docs.google.com/spreadsheets/d/1QqKyyYR6Q21VydFLVH3TRQUabQu_ym0Zz7PgGX0-kHA/edit?usp=sharing"",""แผน!FX33"")"),61)</f>
        <v>61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IFERROR(__xludf.DUMMYFUNCTION("IMPORTRANGE(""https://docs.google.com/spreadsheets/d/1QqKyyYR6Q21VydFLVH3TRQUabQu_ym0Zz7PgGX0-kHA/edit?usp=sharing"",""แผน!FW33"")"),600)</f>
        <v>600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si="206"/>
        <v>0</v>
      </c>
      <c r="N467" s="195">
        <f t="shared" si="206"/>
        <v>18540</v>
      </c>
      <c r="O467" s="195">
        <f t="shared" ref="O467:O472" ca="1" si="207">IF(L467&gt;0,N467*100/L467,0)</f>
        <v>3.7855817115974788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489753</v>
      </c>
      <c r="M469" s="93">
        <f t="shared" si="209"/>
        <v>0</v>
      </c>
      <c r="N469" s="93">
        <f t="shared" si="209"/>
        <v>18540</v>
      </c>
      <c r="O469" s="93">
        <f t="shared" ca="1" si="207"/>
        <v>3.7855817115974788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si="210"/>
        <v>0</v>
      </c>
      <c r="N470" s="497">
        <f t="shared" si="210"/>
        <v>18540</v>
      </c>
      <c r="O470" s="497">
        <f t="shared" ca="1" si="207"/>
        <v>3.7855817115974788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v>0</v>
      </c>
      <c r="N472" s="93">
        <f>N473+N474+N475+N476</f>
        <v>18540</v>
      </c>
      <c r="O472" s="93">
        <f t="shared" ca="1" si="207"/>
        <v>3.7855817115974788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18540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IFERROR(__xludf.DUMMYFUNCTION("IMPORTRANGE(""https://docs.google.com/spreadsheets/d/1QqKyyYR6Q21VydFLVH3TRQUabQu_ym0Zz7PgGX0-kHA/edit?usp=sharing"",""แผน!GU33"")"),0)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73574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477343</v>
      </c>
      <c r="M544" s="155">
        <f t="shared" si="236"/>
        <v>0</v>
      </c>
      <c r="N544" s="155">
        <f t="shared" si="236"/>
        <v>191400</v>
      </c>
      <c r="O544" s="155">
        <f t="shared" ref="O544:O549" ca="1" si="237">IF(L544&gt;0,N544*100/L544,0)</f>
        <v>40.096953343821944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477343</v>
      </c>
      <c r="M546" s="93">
        <f t="shared" si="240"/>
        <v>0</v>
      </c>
      <c r="N546" s="93">
        <f t="shared" si="240"/>
        <v>191400</v>
      </c>
      <c r="O546" s="93">
        <f t="shared" ca="1" si="237"/>
        <v>40.096953343821944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477343</v>
      </c>
      <c r="M547" s="497">
        <f t="shared" si="241"/>
        <v>0</v>
      </c>
      <c r="N547" s="497">
        <f t="shared" si="241"/>
        <v>191400</v>
      </c>
      <c r="O547" s="497">
        <f t="shared" ca="1" si="237"/>
        <v>40.096953343821944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IFERROR(__xludf.DUMMYFUNCTION("IMPORTRANGE(""https://docs.google.com/spreadsheets/d/1QqKyyYR6Q21VydFLVH3TRQUabQu_ym0Zz7PgGX0-kHA/edit?usp=sharing"",""แผน!HB33"")"),477343)</f>
        <v>477343</v>
      </c>
      <c r="M549" s="93">
        <v>0</v>
      </c>
      <c r="N549" s="93">
        <f>N550+N551+N552+N553+N554</f>
        <v>191400</v>
      </c>
      <c r="O549" s="93">
        <f t="shared" ca="1" si="237"/>
        <v>40.096953343821944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52000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139400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73574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28516.52</v>
      </c>
      <c r="K560" s="411">
        <f t="shared" ca="1" si="246"/>
        <v>38.758963764373284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3103</v>
      </c>
      <c r="K561" s="411">
        <f t="shared" ca="1" si="246"/>
        <v>42.315559798172643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23547.52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2642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2931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269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2038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192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5">
        <f t="shared" ref="J568:J569" si="248">J570+J572+J574</f>
        <v>28515.899999999998</v>
      </c>
      <c r="K568" s="411">
        <f t="shared" ref="K568:K569" ca="1" si="249">IF(I568&gt;0,J568*100/I568,0)</f>
        <v>38.75812107537989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5">
        <f t="shared" si="248"/>
        <v>3103</v>
      </c>
      <c r="K569" s="411">
        <f t="shared" ca="1" si="249"/>
        <v>42.315559798172643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25067.43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2780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1385.78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127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2062.69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196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1346.1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IFERROR(__xludf.DUMMYFUNCTION("IMPORTRANGE(""https://docs.google.com/spreadsheets/d/1QqKyyYR6Q21VydFLVH3TRQUabQu_ym0Zz7PgGX0-kHA/edit?usp=sharing"",""แผน!HL33"")"),71)</f>
        <v>71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IFERROR(__xludf.DUMMYFUNCTION("IMPORTRANGE(""https://docs.google.com/spreadsheets/d/1QqKyyYR6Q21VydFLVH3TRQUabQu_ym0Zz7PgGX0-kHA/edit?usp=sharing"",""แผน!HK33"")"),3)</f>
        <v>3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50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237485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IFERROR(__xludf.DUMMYFUNCTION("IMPORTRANGE(""https://docs.google.com/spreadsheets/d/1XWAQStnk-4SwqDmLtmXYiTMKHgktTP8We1SCoS47DrQ/edit?usp=sharing"",""จัดที่ดิน!AZ33"")"),0)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IFERROR(__xludf.DUMMYFUNCTION("IMPORTRANGE(""https://docs.google.com/spreadsheets/d/1QqKyyYR6Q21VydFLVH3TRQUabQu_ym0Zz7PgGX0-kHA/edit?usp=sharing"",""แผน!IA33"")"),0)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IFERROR(__xludf.DUMMYFUNCTION("IMPORTRANGE(""https://docs.google.com/spreadsheets/d/1QqKyyYR6Q21VydFLVH3TRQUabQu_ym0Zz7PgGX0-kHA/edit?usp=sharing"",""แผน!IB33"")"),0)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1920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IFERROR(__xludf.DUMMYFUNCTION("IMPORTRANGE(""https://docs.google.com/spreadsheets/d/1QqKyyYR6Q21VydFLVH3TRQUabQu_ym0Zz7PgGX0-kHA/edit?usp=sharing"",""แผน!IE33"")"),10)</f>
        <v>10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IFERROR(__xludf.DUMMYFUNCTION("IMPORTRANGE(""https://docs.google.com/spreadsheets/d/1QqKyyYR6Q21VydFLVH3TRQUabQu_ym0Zz7PgGX0-kHA/edit?usp=sharing"",""แผน!IF33"")"),10)</f>
        <v>10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IFERROR(__xludf.DUMMYFUNCTION("IMPORTRANGE(""https://docs.google.com/spreadsheets/d/1QqKyyYR6Q21VydFLVH3TRQUabQu_ym0Zz7PgGX0-kHA/edit?usp=sharing"",""แผน!IH33"")"),0)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IFERROR(__xludf.DUMMYFUNCTION("IMPORTRANGE(""https://docs.google.com/spreadsheets/d/1QqKyyYR6Q21VydFLVH3TRQUabQu_ym0Zz7PgGX0-kHA/edit?usp=sharing"",""แผน!IJ33"")"),6)</f>
        <v>6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IFERROR(__xludf.DUMMYFUNCTION("IMPORTRANGE(""https://docs.google.com/spreadsheets/d/1QqKyyYR6Q21VydFLVH3TRQUabQu_ym0Zz7PgGX0-kHA/edit?usp=sharing"",""แผน!IK33"")"),62)</f>
        <v>62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IFERROR(__xludf.DUMMYFUNCTION("IMPORTRANGE(""https://docs.google.com/spreadsheets/d/1XWAQStnk-4SwqDmLtmXYiTMKHgktTP8We1SCoS47DrQ/edit?usp=sharing"",""จัดที่ดิน!BN33"")"),0)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IFERROR(__xludf.DUMMYFUNCTION("IMPORTRANGE(""https://docs.google.com/spreadsheets/d/1QqKyyYR6Q21VydFLVH3TRQUabQu_ym0Zz7PgGX0-kHA/edit?usp=sharing"",""แผน!IP33"")"),0)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IFERROR(__xludf.DUMMYFUNCTION("IMPORTRANGE(""https://docs.google.com/spreadsheets/d/19vJNZY_5yjcGF2XGBMNZRCAIB0Kwfpjp8YEOfu-bneM/edit?usp=sharing"",""งานกองทุน!F33"")"),519944.27)</f>
        <v>519944.27</v>
      </c>
      <c r="K821" s="497">
        <f t="shared" ref="K821:K828" ca="1" si="335">IF(I821&gt;0,J821*100/I821,0)</f>
        <v>11.823255689975797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IFERROR(__xludf.DUMMYFUNCTION("IMPORTRANGE(""https://docs.google.com/spreadsheets/d/19vJNZY_5yjcGF2XGBMNZRCAIB0Kwfpjp8YEOfu-bneM/edit?usp=sharing"",""งานกองทุน!E33"")"),33)</f>
        <v>33</v>
      </c>
      <c r="K822" s="497">
        <f t="shared" ca="1" si="335"/>
        <v>12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IFERROR(__xludf.DUMMYFUNCTION("IMPORTRANGE(""https://docs.google.com/spreadsheets/d/19vJNZY_5yjcGF2XGBMNZRCAIB0Kwfpjp8YEOfu-bneM/edit?usp=sharing"",""งานกองทุน!K33"")"),384281.5)</f>
        <v>384281.5</v>
      </c>
      <c r="K823" s="497">
        <f t="shared" ca="1" si="335"/>
        <v>2.8061923133906537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IFERROR(__xludf.DUMMYFUNCTION("IMPORTRANGE(""https://docs.google.com/spreadsheets/d/19vJNZY_5yjcGF2XGBMNZRCAIB0Kwfpjp8YEOfu-bneM/edit?usp=sharing"",""งานกองทุน!J33"")"),57)</f>
        <v>57</v>
      </c>
      <c r="K824" s="497">
        <f t="shared" ca="1" si="335"/>
        <v>10.775047258979207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IFERROR(__xludf.DUMMYFUNCTION("IMPORTRANGE(""https://docs.google.com/spreadsheets/d/19vJNZY_5yjcGF2XGBMNZRCAIB0Kwfpjp8YEOfu-bneM/edit?usp=sharing"",""งานกองทุน!P33"")"),72932.23)</f>
        <v>72932.23</v>
      </c>
      <c r="K825" s="497">
        <f t="shared" ca="1" si="335"/>
        <v>17.830196686995031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IFERROR(__xludf.DUMMYFUNCTION("IMPORTRANGE(""https://docs.google.com/spreadsheets/d/19vJNZY_5yjcGF2XGBMNZRCAIB0Kwfpjp8YEOfu-bneM/edit?usp=sharing"",""งานกองทุน!O33"")"),39)</f>
        <v>39</v>
      </c>
      <c r="K826" s="497">
        <f t="shared" ca="1" si="335"/>
        <v>66.101694915254242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IFERROR(__xludf.DUMMYFUNCTION("IMPORTRANGE(""https://docs.google.com/spreadsheets/d/19vJNZY_5yjcGF2XGBMNZRCAIB0Kwfpjp8YEOfu-bneM/edit?usp=sharing"",""งานกองทุน!U33"")"),2900000)</f>
        <v>2900000</v>
      </c>
      <c r="K827" s="497">
        <f t="shared" ca="1" si="335"/>
        <v>57.086614173228348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IFERROR(__xludf.DUMMYFUNCTION("IMPORTRANGE(""https://docs.google.com/spreadsheets/d/19vJNZY_5yjcGF2XGBMNZRCAIB0Kwfpjp8YEOfu-bneM/edit?usp=sharing"",""งานกองทุน!R33"")"),203)</f>
        <v>203</v>
      </c>
      <c r="J828" s="500">
        <f ca="1">IFERROR(__xludf.DUMMYFUNCTION("IMPORTRANGE(""https://docs.google.com/spreadsheets/d/19vJNZY_5yjcGF2XGBMNZRCAIB0Kwfpjp8YEOfu-bneM/edit?usp=sharing"",""งานกองทุน!T33"")"),58)</f>
        <v>58</v>
      </c>
      <c r="K828" s="501">
        <f t="shared" ca="1" si="335"/>
        <v>28.571428571428573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D1B95-804A-4032-99B0-B839CA26BD0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338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3599032</v>
      </c>
      <c r="N8" s="22">
        <f t="shared" ca="1" si="0"/>
        <v>2364719.9900000002</v>
      </c>
      <c r="O8" s="22">
        <f t="shared" ref="O8:O16" ca="1" si="1">IF(L8&gt;0,N8*100/L8,0)</f>
        <v>32.788976358081939</v>
      </c>
      <c r="P8" s="22">
        <f t="shared" ref="P8:P16" ca="1" si="2">IF(M8&gt;0,N8*100/M8,0)</f>
        <v>65.704333554133456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3599032</v>
      </c>
      <c r="N10" s="30">
        <f t="shared" ca="1" si="3"/>
        <v>2364719.9900000002</v>
      </c>
      <c r="O10" s="30">
        <f t="shared" ca="1" si="1"/>
        <v>32.788976358081939</v>
      </c>
      <c r="P10" s="30">
        <f t="shared" ca="1" si="2"/>
        <v>65.704333554133456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7060336</v>
      </c>
      <c r="M11" s="497">
        <f t="shared" ca="1" si="4"/>
        <v>3447432</v>
      </c>
      <c r="N11" s="497">
        <f t="shared" ca="1" si="4"/>
        <v>2213119.9900000002</v>
      </c>
      <c r="O11" s="497">
        <f t="shared" ca="1" si="1"/>
        <v>31.345816827980997</v>
      </c>
      <c r="P11" s="497">
        <f t="shared" ca="1" si="2"/>
        <v>64.196189801568252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7060336</v>
      </c>
      <c r="M13" s="93">
        <f t="shared" ca="1" si="5"/>
        <v>3447432</v>
      </c>
      <c r="N13" s="93">
        <f t="shared" ca="1" si="5"/>
        <v>2213119.9900000002</v>
      </c>
      <c r="O13" s="93">
        <f t="shared" ca="1" si="1"/>
        <v>31.345816827980997</v>
      </c>
      <c r="P13" s="93">
        <f t="shared" ca="1" si="2"/>
        <v>64.196189801568252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3599032</v>
      </c>
      <c r="N18" s="22">
        <f t="shared" ca="1" si="8"/>
        <v>1886210.99</v>
      </c>
      <c r="O18" s="22">
        <f t="shared" ref="O18:O26" ca="1" si="9">IF(L18&gt;0,N18*100/L18,0)</f>
        <v>39.151105324203805</v>
      </c>
      <c r="P18" s="22">
        <f t="shared" ref="P18:P26" ca="1" si="10">IF(M18&gt;0,N18*100/M18,0)</f>
        <v>52.408841877482615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3599032</v>
      </c>
      <c r="N20" s="30">
        <f t="shared" ca="1" si="11"/>
        <v>1886210.99</v>
      </c>
      <c r="O20" s="30">
        <f t="shared" ca="1" si="9"/>
        <v>39.151105324203805</v>
      </c>
      <c r="P20" s="30">
        <f t="shared" ca="1" si="10"/>
        <v>52.408841877482615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3447432</v>
      </c>
      <c r="N21" s="497">
        <f t="shared" ca="1" si="12"/>
        <v>1734610.99</v>
      </c>
      <c r="O21" s="497">
        <f t="shared" ca="1" si="9"/>
        <v>37.174175962652043</v>
      </c>
      <c r="P21" s="497">
        <f t="shared" ca="1" si="10"/>
        <v>50.316032049363123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4666172</v>
      </c>
      <c r="M23" s="93">
        <f t="shared" ca="1" si="13"/>
        <v>3447432</v>
      </c>
      <c r="N23" s="93">
        <f t="shared" ca="1" si="13"/>
        <v>1734610.99</v>
      </c>
      <c r="O23" s="93">
        <f t="shared" ca="1" si="9"/>
        <v>37.174175962652043</v>
      </c>
      <c r="P23" s="93">
        <f t="shared" ca="1" si="10"/>
        <v>50.316032049363123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si="16"/>
        <v>0</v>
      </c>
      <c r="N28" s="22">
        <f t="shared" si="16"/>
        <v>478509</v>
      </c>
      <c r="O28" s="22">
        <f t="shared" ref="O28:O37" ca="1" si="17">IF(L28&gt;0,N28*100/L28,0)</f>
        <v>19.986475446126498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si="19"/>
        <v>0</v>
      </c>
      <c r="N30" s="30">
        <f t="shared" si="19"/>
        <v>478509</v>
      </c>
      <c r="O30" s="30">
        <f t="shared" ca="1" si="17"/>
        <v>19.986475446126498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2394164</v>
      </c>
      <c r="M31" s="497">
        <f t="shared" si="20"/>
        <v>0</v>
      </c>
      <c r="N31" s="497">
        <f t="shared" si="20"/>
        <v>478509</v>
      </c>
      <c r="O31" s="497">
        <f t="shared" ca="1" si="17"/>
        <v>19.986475446126498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2394164</v>
      </c>
      <c r="M33" s="93">
        <f t="shared" si="21"/>
        <v>0</v>
      </c>
      <c r="N33" s="93">
        <f t="shared" si="21"/>
        <v>478509</v>
      </c>
      <c r="O33" s="93">
        <f t="shared" ca="1" si="17"/>
        <v>19.986475446126498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4817772</v>
      </c>
      <c r="M37" s="843">
        <f t="shared" ca="1" si="24"/>
        <v>3599032</v>
      </c>
      <c r="N37" s="843">
        <f t="shared" ca="1" si="24"/>
        <v>1886210.99</v>
      </c>
      <c r="O37" s="843">
        <f t="shared" ca="1" si="17"/>
        <v>39.151105324203805</v>
      </c>
      <c r="P37" s="843">
        <f t="shared" ca="1" si="18"/>
        <v>52.408841877482615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890652</v>
      </c>
      <c r="N41" s="85">
        <f t="shared" ca="1" si="25"/>
        <v>365394</v>
      </c>
      <c r="O41" s="85">
        <f t="shared" ref="O41:O49" ca="1" si="26">IF(L41&gt;0,N41*100/L41,0)</f>
        <v>41.393068416366276</v>
      </c>
      <c r="P41" s="85">
        <f t="shared" ref="P41:P49" ca="1" si="27">IF(M41&gt;0,N41*100/M41,0)</f>
        <v>41.025451017905986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890652</v>
      </c>
      <c r="N43" s="92">
        <f t="shared" ca="1" si="28"/>
        <v>365394</v>
      </c>
      <c r="O43" s="92">
        <f t="shared" ca="1" si="26"/>
        <v>41.393068416366276</v>
      </c>
      <c r="P43" s="92">
        <f t="shared" ca="1" si="27"/>
        <v>41.025451017905986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890652</v>
      </c>
      <c r="N44" s="497">
        <f t="shared" ca="1" si="29"/>
        <v>365394</v>
      </c>
      <c r="O44" s="497">
        <f t="shared" ca="1" si="26"/>
        <v>41.393068416366276</v>
      </c>
      <c r="P44" s="497">
        <f t="shared" ca="1" si="27"/>
        <v>41.025451017905986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IFERROR(__xludf.DUMMYFUNCTION("IMPORTRANGE(""https://docs.google.com/spreadsheets/d/1MeEWN-I1oV_STSDYn1IFDPWt_1FKiwhDph83XaGc0o0/edit?usp=sharing"",""งบพรบ!R34"")"),890652)</f>
        <v>890652</v>
      </c>
      <c r="N46" s="93">
        <f ca="1">IFERROR(__xludf.DUMMYFUNCTION("IMPORTRANGE(""https://docs.google.com/spreadsheets/d/1MeEWN-I1oV_STSDYn1IFDPWt_1FKiwhDph83XaGc0o0/edit?usp=sharing"",""งบพรบ!T34"")"),365394)</f>
        <v>365394</v>
      </c>
      <c r="O46" s="93">
        <f t="shared" ca="1" si="26"/>
        <v>41.393068416366276</v>
      </c>
      <c r="P46" s="93">
        <f t="shared" ca="1" si="27"/>
        <v>41.025451017905986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743700</v>
      </c>
      <c r="N53" s="116">
        <f t="shared" ca="1" si="31"/>
        <v>404513.79</v>
      </c>
      <c r="O53" s="116">
        <f t="shared" ref="O53:O61" ca="1" si="32">IF(L53&gt;0,N53*100/L53,0)</f>
        <v>40.794049011698263</v>
      </c>
      <c r="P53" s="116">
        <f t="shared" ref="P53:P61" ca="1" si="33">IF(M53&gt;0,N53*100/M53,0)</f>
        <v>54.39206534893102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743700</v>
      </c>
      <c r="N55" s="123">
        <f t="shared" ca="1" si="34"/>
        <v>404513.79</v>
      </c>
      <c r="O55" s="123">
        <f t="shared" ca="1" si="32"/>
        <v>40.794049011698263</v>
      </c>
      <c r="P55" s="123">
        <f t="shared" ca="1" si="33"/>
        <v>54.39206534893102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743700</v>
      </c>
      <c r="N56" s="497">
        <f t="shared" ca="1" si="35"/>
        <v>404513.79</v>
      </c>
      <c r="O56" s="497">
        <f t="shared" ca="1" si="32"/>
        <v>40.794049011698263</v>
      </c>
      <c r="P56" s="497">
        <f t="shared" ca="1" si="33"/>
        <v>54.39206534893102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IFERROR(__xludf.DUMMYFUNCTION("IMPORTRANGE(""https://docs.google.com/spreadsheets/d/1MeEWN-I1oV_STSDYn1IFDPWt_1FKiwhDph83XaGc0o0/edit?usp=sharing"",""งบพรบ!AB34"")"),743700)</f>
        <v>743700</v>
      </c>
      <c r="N58" s="93">
        <f ca="1">IFERROR(__xludf.DUMMYFUNCTION("IMPORTRANGE(""https://docs.google.com/spreadsheets/d/1MeEWN-I1oV_STSDYn1IFDPWt_1FKiwhDph83XaGc0o0/edit?usp=sharing"",""งบพรบ!AD34"")"),404513.79)</f>
        <v>404513.79</v>
      </c>
      <c r="O58" s="93">
        <f t="shared" ca="1" si="32"/>
        <v>40.794049011698263</v>
      </c>
      <c r="P58" s="93">
        <f t="shared" ca="1" si="33"/>
        <v>54.39206534893102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19893</v>
      </c>
      <c r="O88" s="155">
        <f t="shared" ref="O88:O96" ca="1" si="50">IF(L88&gt;0,N88*100/L88,0)</f>
        <v>63.759615384615387</v>
      </c>
      <c r="P88" s="155">
        <f t="shared" ref="P88:P96" ca="1" si="51">IF(M88&gt;0,N88*100/M88,0)</f>
        <v>67.778534923339009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19893</v>
      </c>
      <c r="O90" s="93">
        <f t="shared" ca="1" si="50"/>
        <v>63.759615384615387</v>
      </c>
      <c r="P90" s="93">
        <f t="shared" ca="1" si="51"/>
        <v>67.778534923339009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19893</v>
      </c>
      <c r="O91" s="497">
        <f t="shared" ca="1" si="50"/>
        <v>63.759615384615387</v>
      </c>
      <c r="P91" s="497">
        <f t="shared" ca="1" si="51"/>
        <v>67.778534923339009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IFERROR(__xludf.DUMMYFUNCTION("IMPORTRANGE(""https://docs.google.com/spreadsheets/d/1MeEWN-I1oV_STSDYn1IFDPWt_1FKiwhDph83XaGc0o0/edit?usp=sharing"",""งบพรบ!AV34"")"),29350)</f>
        <v>29350</v>
      </c>
      <c r="N93" s="93">
        <f ca="1">IFERROR(__xludf.DUMMYFUNCTION("IMPORTRANGE(""https://docs.google.com/spreadsheets/d/1MeEWN-I1oV_STSDYn1IFDPWt_1FKiwhDph83XaGc0o0/edit?usp=sharing"",""งบพรบ!AX34"")"),19893)</f>
        <v>19893</v>
      </c>
      <c r="O93" s="93">
        <f t="shared" ca="1" si="50"/>
        <v>63.759615384615387</v>
      </c>
      <c r="P93" s="93">
        <f t="shared" ca="1" si="51"/>
        <v>67.778534923339009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/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20150</v>
      </c>
      <c r="O165" s="155">
        <f t="shared" ref="O165:O173" ca="1" si="85">IF(L165&gt;0,N165*100/L165,0)</f>
        <v>95.72446555819478</v>
      </c>
      <c r="P165" s="155">
        <f t="shared" ref="P165:P173" ca="1" si="86">IF(M165&gt;0,N165*100/M165,0)</f>
        <v>95.72446555819478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20150</v>
      </c>
      <c r="O167" s="93">
        <f t="shared" ca="1" si="85"/>
        <v>95.72446555819478</v>
      </c>
      <c r="P167" s="93">
        <f t="shared" ca="1" si="86"/>
        <v>95.72446555819478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20150</v>
      </c>
      <c r="O168" s="497">
        <f t="shared" ca="1" si="85"/>
        <v>95.72446555819478</v>
      </c>
      <c r="P168" s="497">
        <f t="shared" ca="1" si="86"/>
        <v>95.72446555819478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IFERROR(__xludf.DUMMYFUNCTION("IMPORTRANGE(""https://docs.google.com/spreadsheets/d/1MeEWN-I1oV_STSDYn1IFDPWt_1FKiwhDph83XaGc0o0/edit?usp=sharing"",""งบพรบ!CJ34"")"),21050)</f>
        <v>21050</v>
      </c>
      <c r="N170" s="93">
        <f ca="1">IFERROR(__xludf.DUMMYFUNCTION("IMPORTRANGE(""https://docs.google.com/spreadsheets/d/1MeEWN-I1oV_STSDYn1IFDPWt_1FKiwhDph83XaGc0o0/edit?usp=sharing"",""งบพรบ!CL34"")"),20150)</f>
        <v>20150</v>
      </c>
      <c r="O170" s="93">
        <f t="shared" ca="1" si="85"/>
        <v>95.72446555819478</v>
      </c>
      <c r="P170" s="93">
        <f t="shared" ca="1" si="86"/>
        <v>95.72446555819478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269500</v>
      </c>
      <c r="N181" s="155">
        <f t="shared" ca="1" si="92"/>
        <v>71293</v>
      </c>
      <c r="O181" s="155">
        <f t="shared" ref="O181:O189" ca="1" si="93">IF(L181&gt;0,N181*100/L181,0)</f>
        <v>19.66703448275862</v>
      </c>
      <c r="P181" s="155">
        <f t="shared" ref="P181:P189" ca="1" si="94">IF(M181&gt;0,N181*100/M181,0)</f>
        <v>26.453803339517624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362500</v>
      </c>
      <c r="M183" s="93">
        <f t="shared" ca="1" si="95"/>
        <v>269500</v>
      </c>
      <c r="N183" s="93">
        <f t="shared" ca="1" si="95"/>
        <v>71293</v>
      </c>
      <c r="O183" s="93">
        <f t="shared" ca="1" si="93"/>
        <v>19.66703448275862</v>
      </c>
      <c r="P183" s="93">
        <f t="shared" ca="1" si="94"/>
        <v>26.453803339517624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269500</v>
      </c>
      <c r="N184" s="497">
        <f t="shared" ca="1" si="96"/>
        <v>71293</v>
      </c>
      <c r="O184" s="497">
        <f t="shared" ca="1" si="93"/>
        <v>19.66703448275862</v>
      </c>
      <c r="P184" s="497">
        <f t="shared" ca="1" si="94"/>
        <v>26.453803339517624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IFERROR(__xludf.DUMMYFUNCTION("IMPORTRANGE(""https://docs.google.com/spreadsheets/d/1MeEWN-I1oV_STSDYn1IFDPWt_1FKiwhDph83XaGc0o0/edit?usp=sharing"",""งบพรบ!CT34"")"),269500)</f>
        <v>269500</v>
      </c>
      <c r="N186" s="93">
        <f ca="1">IFERROR(__xludf.DUMMYFUNCTION("IMPORTRANGE(""https://docs.google.com/spreadsheets/d/1MeEWN-I1oV_STSDYn1IFDPWt_1FKiwhDph83XaGc0o0/edit?usp=sharing"",""งบพรบ!CV34"")"),71293)</f>
        <v>71293</v>
      </c>
      <c r="O186" s="93">
        <f t="shared" ca="1" si="93"/>
        <v>19.66703448275862</v>
      </c>
      <c r="P186" s="93">
        <f t="shared" ca="1" si="94"/>
        <v>26.453803339517624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1960</v>
      </c>
      <c r="O191" s="155">
        <f ca="1">IF(L191&gt;0,N191*100/L191,0)</f>
        <v>32.666666666666664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50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50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0</v>
      </c>
      <c r="K197" s="273">
        <f ca="1">IF(I197&gt;0,J197*100/I197,0)</f>
        <v>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0</v>
      </c>
      <c r="O198" s="155">
        <f ca="1">IF(L198&gt;0,N198*100/L198,0)</f>
        <v>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4">
        <v>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0</v>
      </c>
      <c r="K204" s="163">
        <f ca="1">IF(I204&gt;0,J204*100/I204,0)</f>
        <v>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19420</v>
      </c>
      <c r="O261" s="155">
        <f t="shared" ref="O261:O269" ca="1" si="117">IF(L261&gt;0,N261*100/L261,0)</f>
        <v>72.193308550185876</v>
      </c>
      <c r="P261" s="155">
        <f t="shared" ref="P261:P269" ca="1" si="118">IF(M261&gt;0,N261*100/M261,0)</f>
        <v>81.255230125523013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19420</v>
      </c>
      <c r="O263" s="93">
        <f t="shared" ca="1" si="117"/>
        <v>72.193308550185876</v>
      </c>
      <c r="P263" s="93">
        <f t="shared" ca="1" si="118"/>
        <v>81.255230125523013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19420</v>
      </c>
      <c r="O264" s="497">
        <f t="shared" ca="1" si="117"/>
        <v>72.193308550185876</v>
      </c>
      <c r="P264" s="497">
        <f t="shared" ca="1" si="118"/>
        <v>81.255230125523013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IFERROR(__xludf.DUMMYFUNCTION("IMPORTRANGE(""https://docs.google.com/spreadsheets/d/1MeEWN-I1oV_STSDYn1IFDPWt_1FKiwhDph83XaGc0o0/edit?usp=sharing"",""งบพรบ!DD34"")"),23900)</f>
        <v>23900</v>
      </c>
      <c r="N266" s="93">
        <f ca="1">IFERROR(__xludf.DUMMYFUNCTION("IMPORTRANGE(""https://docs.google.com/spreadsheets/d/1MeEWN-I1oV_STSDYn1IFDPWt_1FKiwhDph83XaGc0o0/edit?usp=sharing"",""งบพรบ!DF34"")"),19420)</f>
        <v>19420</v>
      </c>
      <c r="O266" s="93">
        <f t="shared" ca="1" si="117"/>
        <v>72.193308550185876</v>
      </c>
      <c r="P266" s="93">
        <f t="shared" ca="1" si="118"/>
        <v>81.255230125523013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700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239590</v>
      </c>
      <c r="N277" s="155">
        <f t="shared" ca="1" si="125"/>
        <v>57080</v>
      </c>
      <c r="O277" s="155">
        <f t="shared" ref="O277:O285" ca="1" si="126">IF(L277&gt;0,N277*100/L277,0)</f>
        <v>13.802108521133572</v>
      </c>
      <c r="P277" s="155">
        <f t="shared" ref="P277:P285" ca="1" si="127">IF(M277&gt;0,N277*100/M277,0)</f>
        <v>23.824032722567718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413560</v>
      </c>
      <c r="M279" s="93">
        <f t="shared" ca="1" si="128"/>
        <v>239590</v>
      </c>
      <c r="N279" s="93">
        <f t="shared" ca="1" si="128"/>
        <v>57080</v>
      </c>
      <c r="O279" s="93">
        <f t="shared" ca="1" si="126"/>
        <v>13.802108521133572</v>
      </c>
      <c r="P279" s="93">
        <f t="shared" ca="1" si="127"/>
        <v>23.824032722567718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239590</v>
      </c>
      <c r="N280" s="497">
        <f t="shared" ca="1" si="129"/>
        <v>57080</v>
      </c>
      <c r="O280" s="497">
        <f t="shared" ca="1" si="126"/>
        <v>13.802108521133572</v>
      </c>
      <c r="P280" s="497">
        <f t="shared" ca="1" si="127"/>
        <v>23.824032722567718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IFERROR(__xludf.DUMMYFUNCTION("IMPORTRANGE(""https://docs.google.com/spreadsheets/d/1MeEWN-I1oV_STSDYn1IFDPWt_1FKiwhDph83XaGc0o0/edit?usp=sharing"",""งบพรบ!DN34"")"),239590)</f>
        <v>239590</v>
      </c>
      <c r="N282" s="93">
        <f ca="1">IFERROR(__xludf.DUMMYFUNCTION("IMPORTRANGE(""https://docs.google.com/spreadsheets/d/1MeEWN-I1oV_STSDYn1IFDPWt_1FKiwhDph83XaGc0o0/edit?usp=sharing"",""งบพรบ!DP34"")"),57080)</f>
        <v>57080</v>
      </c>
      <c r="O282" s="93">
        <f t="shared" ca="1" si="126"/>
        <v>13.802108521133572</v>
      </c>
      <c r="P282" s="93">
        <f t="shared" ca="1" si="127"/>
        <v>23.824032722567718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IFERROR(__xludf.DUMMYFUNCTION("IMPORTRANGE(""https://docs.google.com/spreadsheets/d/1QqKyyYR6Q21VydFLVH3TRQUabQu_ym0Zz7PgGX0-kHA/edit?usp=sharing"",""แผน!EB34"")"),70)</f>
        <v>70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2007</v>
      </c>
      <c r="K327" s="445">
        <f ca="1">IF(I327&gt;0,J327*100/I327,0)</f>
        <v>59.029411764705884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91500</v>
      </c>
      <c r="N328" s="155">
        <f t="shared" ca="1" si="149"/>
        <v>68434</v>
      </c>
      <c r="O328" s="155">
        <f t="shared" ref="O328:O336" ca="1" si="150">IF(L328&gt;0,N328*100/L328,0)</f>
        <v>37.39562841530055</v>
      </c>
      <c r="P328" s="155">
        <f t="shared" ref="P328:P336" ca="1" si="151">IF(M328&gt;0,N328*100/M328,0)</f>
        <v>74.7912568306011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183000</v>
      </c>
      <c r="M330" s="93">
        <f t="shared" ca="1" si="152"/>
        <v>91500</v>
      </c>
      <c r="N330" s="93">
        <f t="shared" ca="1" si="152"/>
        <v>68434</v>
      </c>
      <c r="O330" s="93">
        <f t="shared" ca="1" si="150"/>
        <v>37.39562841530055</v>
      </c>
      <c r="P330" s="93">
        <f t="shared" ca="1" si="151"/>
        <v>74.7912568306011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91500</v>
      </c>
      <c r="N331" s="497">
        <f t="shared" ca="1" si="153"/>
        <v>68434</v>
      </c>
      <c r="O331" s="497">
        <f t="shared" ca="1" si="150"/>
        <v>37.39562841530055</v>
      </c>
      <c r="P331" s="497">
        <f t="shared" ca="1" si="151"/>
        <v>74.7912568306011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IFERROR(__xludf.DUMMYFUNCTION("IMPORTRANGE(""https://docs.google.com/spreadsheets/d/1MeEWN-I1oV_STSDYn1IFDPWt_1FKiwhDph83XaGc0o0/edit?usp=sharing"",""งบพรบ!ER34"")"),91500)</f>
        <v>91500</v>
      </c>
      <c r="N333" s="93">
        <f ca="1">IFERROR(__xludf.DUMMYFUNCTION("IMPORTRANGE(""https://docs.google.com/spreadsheets/d/1MeEWN-I1oV_STSDYn1IFDPWt_1FKiwhDph83XaGc0o0/edit?usp=sharing"",""งบพรบ!ET34"")"),68434)</f>
        <v>68434</v>
      </c>
      <c r="O333" s="93">
        <f t="shared" ca="1" si="150"/>
        <v>37.39562841530055</v>
      </c>
      <c r="P333" s="93">
        <f t="shared" ca="1" si="151"/>
        <v>74.7912568306011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IFERROR(__xludf.DUMMYFUNCTION("IMPORTRANGE(""https://docs.google.com/spreadsheets/d/1kVcqe37tkHyjCSG3S0O1AXqVkqjo8mSIZil3BcpIysc/edit?usp=sharing"",""ศูนย์!D34"")"),2007)</f>
        <v>2007</v>
      </c>
      <c r="K338" s="497">
        <f ca="1">IF(I338&gt;0,J338*100/I338,0)</f>
        <v>59.029411764705884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1283070</v>
      </c>
      <c r="N345" s="155">
        <f t="shared" ca="1" si="155"/>
        <v>855825.2</v>
      </c>
      <c r="O345" s="155">
        <f t="shared" ref="O345:O353" ca="1" si="156">IF(L345&gt;0,N345*100/L345,0)</f>
        <v>44.920019735253675</v>
      </c>
      <c r="P345" s="155">
        <f t="shared" ref="P345:P353" ca="1" si="157">IF(M345&gt;0,N345*100/M345,0)</f>
        <v>66.701364695612867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1905220</v>
      </c>
      <c r="M347" s="93">
        <f t="shared" ca="1" si="158"/>
        <v>1283070</v>
      </c>
      <c r="N347" s="93">
        <f t="shared" ca="1" si="158"/>
        <v>855825.2</v>
      </c>
      <c r="O347" s="93">
        <f t="shared" ca="1" si="156"/>
        <v>44.920019735253675</v>
      </c>
      <c r="P347" s="93">
        <f t="shared" ca="1" si="157"/>
        <v>66.701364695612867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1131470</v>
      </c>
      <c r="N348" s="497">
        <f t="shared" ca="1" si="159"/>
        <v>704225.2</v>
      </c>
      <c r="O348" s="497">
        <f t="shared" ca="1" si="156"/>
        <v>40.158369544142971</v>
      </c>
      <c r="P348" s="497">
        <f t="shared" ca="1" si="157"/>
        <v>62.239847278319353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IFERROR(__xludf.DUMMYFUNCTION("IMPORTRANGE(""https://docs.google.com/spreadsheets/d/1MeEWN-I1oV_STSDYn1IFDPWt_1FKiwhDph83XaGc0o0/edit?usp=sharing"",""งบพรบ!FB34"")"),1131470)</f>
        <v>1131470</v>
      </c>
      <c r="N350" s="93">
        <f ca="1">IFERROR(__xludf.DUMMYFUNCTION("IMPORTRANGE(""https://docs.google.com/spreadsheets/d/1MeEWN-I1oV_STSDYn1IFDPWt_1FKiwhDph83XaGc0o0/edit?usp=sharing"",""งบพรบ!FD34"")"),704225.2)</f>
        <v>704225.2</v>
      </c>
      <c r="O350" s="93">
        <f t="shared" ca="1" si="156"/>
        <v>40.158369544142971</v>
      </c>
      <c r="P350" s="93">
        <f t="shared" ca="1" si="157"/>
        <v>62.239847278319353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1</v>
      </c>
      <c r="K355" s="465">
        <f ca="1">IF(I355&gt;0,J355*100/I355,0)</f>
        <v>0.14285714285714285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IFERROR(__xludf.DUMMYFUNCTION("IMPORTRANGE(""https://docs.google.com/spreadsheets/d/1XWAQStnk-4SwqDmLtmXYiTMKHgktTP8We1SCoS47DrQ/edit?usp=sharing"",""จัดที่ดิน!W34"")"),182)</f>
        <v>182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IFERROR(__xludf.DUMMYFUNCTION("IMPORTRANGE(""https://docs.google.com/spreadsheets/d/1XWAQStnk-4SwqDmLtmXYiTMKHgktTP8We1SCoS47DrQ/edit?usp=sharing"",""จัดที่ดิน!X34"")"),1420.56)</f>
        <v>1420.56</v>
      </c>
      <c r="K359" s="497">
        <f t="shared" ca="1" si="161"/>
        <v>20.293714285714287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IFERROR(__xludf.DUMMYFUNCTION("IMPORTRANGE(""https://docs.google.com/spreadsheets/d/1XWAQStnk-4SwqDmLtmXYiTMKHgktTP8We1SCoS47DrQ/edit?usp=sharing"",""จัดที่ดิน!Y34"")"),74)</f>
        <v>74</v>
      </c>
      <c r="K360" s="497">
        <f t="shared" ca="1" si="161"/>
        <v>10.571428571428571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IFERROR(__xludf.DUMMYFUNCTION("IMPORTRANGE(""https://docs.google.com/spreadsheets/d/1XWAQStnk-4SwqDmLtmXYiTMKHgktTP8We1SCoS47DrQ/edit?usp=sharing"",""จัดที่ดิน!Z34"")"),689.98)</f>
        <v>689.98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IFERROR(__xludf.DUMMYFUNCTION("IMPORTRANGE(""https://docs.google.com/spreadsheets/d/1XWAQStnk-4SwqDmLtmXYiTMKHgktTP8We1SCoS47DrQ/edit?usp=sharing"",""จัดที่ดิน!AA34"")"),1)</f>
        <v>1</v>
      </c>
      <c r="K362" s="497">
        <f t="shared" ca="1" si="161"/>
        <v>0.14285714285714285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IFERROR(__xludf.DUMMYFUNCTION("IMPORTRANGE(""https://docs.google.com/spreadsheets/d/1XWAQStnk-4SwqDmLtmXYiTMKHgktTP8We1SCoS47DrQ/edit?usp=sharing"",""จัดที่ดิน!AB34"")"),5.92)</f>
        <v>5.92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125</v>
      </c>
      <c r="K364" s="479">
        <f t="shared" ca="1" si="161"/>
        <v>8.6206896551724146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1</v>
      </c>
      <c r="K365" s="491">
        <f t="shared" ca="1" si="161"/>
        <v>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IFERROR(__xludf.DUMMYFUNCTION("IMPORTRANGE(""https://docs.google.com/spreadsheets/d/1XWAQStnk-4SwqDmLtmXYiTMKHgktTP8We1SCoS47DrQ/edit?usp=sharing"",""จัดที่ดิน!E34"")"),57)</f>
        <v>57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IFERROR(__xludf.DUMMYFUNCTION("IMPORTRANGE(""https://docs.google.com/spreadsheets/d/1XWAQStnk-4SwqDmLtmXYiTMKHgktTP8We1SCoS47DrQ/edit?usp=sharing"",""จัดที่ดิน!F34"")"),280.71)</f>
        <v>280.70999999999998</v>
      </c>
      <c r="K369" s="497">
        <f t="shared" ca="1" si="163"/>
        <v>28.070999999999998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IFERROR(__xludf.DUMMYFUNCTION("IMPORTRANGE(""https://docs.google.com/spreadsheets/d/1XWAQStnk-4SwqDmLtmXYiTMKHgktTP8We1SCoS47DrQ/edit?usp=sharing"",""จัดที่ดิน!G34"")"),14)</f>
        <v>14</v>
      </c>
      <c r="K370" s="497">
        <f t="shared" ca="1" si="163"/>
        <v>14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IFERROR(__xludf.DUMMYFUNCTION("IMPORTRANGE(""https://docs.google.com/spreadsheets/d/1XWAQStnk-4SwqDmLtmXYiTMKHgktTP8We1SCoS47DrQ/edit?usp=sharing"",""จัดที่ดิน!H34"")"),148.16)</f>
        <v>148.16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IFERROR(__xludf.DUMMYFUNCTION("IMPORTRANGE(""https://docs.google.com/spreadsheets/d/1XWAQStnk-4SwqDmLtmXYiTMKHgktTP8We1SCoS47DrQ/edit?usp=sharing"",""จัดที่ดิน!I34"")"),1)</f>
        <v>1</v>
      </c>
      <c r="K372" s="497">
        <f t="shared" ca="1" si="163"/>
        <v>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IFERROR(__xludf.DUMMYFUNCTION("IMPORTRANGE(""https://docs.google.com/spreadsheets/d/1XWAQStnk-4SwqDmLtmXYiTMKHgktTP8We1SCoS47DrQ/edit?usp=sharing"",""จัดที่ดิน!J34"")"),5.92)</f>
        <v>5.92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124</v>
      </c>
      <c r="K374" s="491">
        <f t="shared" ca="1" si="163"/>
        <v>9.1851851851851851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IFERROR(__xludf.DUMMYFUNCTION("IMPORTRANGE(""https://docs.google.com/spreadsheets/d/1XWAQStnk-4SwqDmLtmXYiTMKHgktTP8We1SCoS47DrQ/edit?usp=sharing"",""จัดที่ดิน!AH34"")"),125)</f>
        <v>125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IFERROR(__xludf.DUMMYFUNCTION("IMPORTRANGE(""https://docs.google.com/spreadsheets/d/1XWAQStnk-4SwqDmLtmXYiTMKHgktTP8We1SCoS47DrQ/edit?usp=sharing"",""จัดที่ดิน!AI34"")"),1139.85)</f>
        <v>1139.8499999999999</v>
      </c>
      <c r="K378" s="497">
        <f t="shared" ca="1" si="164"/>
        <v>18.997499999999999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IFERROR(__xludf.DUMMYFUNCTION("IMPORTRANGE(""https://docs.google.com/spreadsheets/d/1XWAQStnk-4SwqDmLtmXYiTMKHgktTP8We1SCoS47DrQ/edit?usp=sharing"",""จัดที่ดิน!AJ34"")"),236)</f>
        <v>236</v>
      </c>
      <c r="K379" s="497">
        <f t="shared" ca="1" si="164"/>
        <v>17.481481481481481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IFERROR(__xludf.DUMMYFUNCTION("IMPORTRANGE(""https://docs.google.com/spreadsheets/d/1XWAQStnk-4SwqDmLtmXYiTMKHgktTP8We1SCoS47DrQ/edit?usp=sharing"",""จัดที่ดิน!AK34"")"),3077.58)</f>
        <v>3077.58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IFERROR(__xludf.DUMMYFUNCTION("IMPORTRANGE(""https://docs.google.com/spreadsheets/d/1XWAQStnk-4SwqDmLtmXYiTMKHgktTP8We1SCoS47DrQ/edit?usp=sharing"",""จัดที่ดิน!AL34"")"),124)</f>
        <v>124</v>
      </c>
      <c r="K381" s="497">
        <f t="shared" ca="1" si="164"/>
        <v>9.1851851851851851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IFERROR(__xludf.DUMMYFUNCTION("IMPORTRANGE(""https://docs.google.com/spreadsheets/d/1XWAQStnk-4SwqDmLtmXYiTMKHgktTP8We1SCoS47DrQ/edit?usp=sharing"",""จัดที่ดิน!AM34"")"),1753.77)</f>
        <v>1753.77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IFERROR(__xludf.DUMMYFUNCTION("IMPORTRANGE(""https://docs.google.com/spreadsheets/d/1QqKyyYR6Q21VydFLVH3TRQUabQu_ym0Zz7PgGX0-kHA/edit?usp=sharing"",""แผน!EW34"")"),100)</f>
        <v>100</v>
      </c>
      <c r="J385" s="500">
        <f ca="1">IFERROR(__xludf.DUMMYFUNCTION("IMPORTRANGE(""https://docs.google.com/spreadsheets/d/1XWAQStnk-4SwqDmLtmXYiTMKHgktTP8We1SCoS47DrQ/edit?usp=sharing"",""จัดที่ดิน!AP34"")"),0)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2394164</v>
      </c>
      <c r="M414" s="548">
        <f t="shared" si="181"/>
        <v>0</v>
      </c>
      <c r="N414" s="548">
        <f t="shared" si="181"/>
        <v>478509</v>
      </c>
      <c r="O414" s="548">
        <f ca="1">IF(L414&gt;0,N414*100/L414,0)</f>
        <v>19.986475446126498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si="184"/>
        <v>0</v>
      </c>
      <c r="N419" s="155">
        <f t="shared" si="184"/>
        <v>25930</v>
      </c>
      <c r="O419" s="155">
        <f t="shared" ref="O419:O424" ca="1" si="185">IF(L419&gt;0,N419*100/L419,0)</f>
        <v>32.964658021866256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78660</v>
      </c>
      <c r="M421" s="93">
        <f t="shared" si="187"/>
        <v>0</v>
      </c>
      <c r="N421" s="93">
        <f t="shared" si="187"/>
        <v>25930</v>
      </c>
      <c r="O421" s="93">
        <f t="shared" ca="1" si="185"/>
        <v>32.964658021866256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si="188"/>
        <v>0</v>
      </c>
      <c r="N422" s="497">
        <f t="shared" si="188"/>
        <v>25930</v>
      </c>
      <c r="O422" s="497">
        <f t="shared" ca="1" si="185"/>
        <v>32.964658021866256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v>0</v>
      </c>
      <c r="N424" s="93">
        <f>N425+N426+N427+N428</f>
        <v>25930</v>
      </c>
      <c r="O424" s="93">
        <f t="shared" ca="1" si="185"/>
        <v>32.964658021866256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25480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450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IFERROR(__xludf.DUMMYFUNCTION("IMPORTRANGE(""https://docs.google.com/spreadsheets/d/1QqKyyYR6Q21VydFLVH3TRQUabQu_ym0Zz7PgGX0-kHA/edit?usp=sharing"",""แผน!FC34"")"),20)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IFERROR(__xludf.DUMMYFUNCTION("IMPORTRANGE(""https://docs.google.com/spreadsheets/d/1QqKyyYR6Q21VydFLVH3TRQUabQu_ym0Zz7PgGX0-kHA/edit?usp=sharing"",""แผน!FD34"")"),0)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IFERROR(__xludf.DUMMYFUNCTION("IMPORTRANGE(""https://docs.google.com/spreadsheets/d/1QqKyyYR6Q21VydFLVH3TRQUabQu_ym0Zz7PgGX0-kHA/edit?usp=sharing"",""แผน!FF34"")"),20)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 hidden="1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 hidden="1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 hidden="1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 hidden="1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 hidden="1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 hidden="1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 hidden="1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 hidden="1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 hidden="1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 hidden="1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 hidden="1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 hidden="1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 hidden="1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 hidden="1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IFERROR(__xludf.DUMMYFUNCTION("IMPORTRANGE(""https://docs.google.com/spreadsheets/d/1QqKyyYR6Q21VydFLVH3TRQUabQu_ym0Zz7PgGX0-kHA/edit?usp=sharing"",""แผน!FX34"")"),51)</f>
        <v>51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IFERROR(__xludf.DUMMYFUNCTION("IMPORTRANGE(""https://docs.google.com/spreadsheets/d/1QqKyyYR6Q21VydFLVH3TRQUabQu_ym0Zz7PgGX0-kHA/edit?usp=sharing"",""แผน!FW34"")"),500)</f>
        <v>500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si="206"/>
        <v>0</v>
      </c>
      <c r="N467" s="195">
        <f t="shared" si="206"/>
        <v>17930</v>
      </c>
      <c r="O467" s="195">
        <f t="shared" ref="O467:O472" ca="1" si="207">IF(L467&gt;0,N467*100/L467,0)</f>
        <v>4.370473829563708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410253</v>
      </c>
      <c r="M469" s="93">
        <f t="shared" si="209"/>
        <v>0</v>
      </c>
      <c r="N469" s="93">
        <f t="shared" si="209"/>
        <v>17930</v>
      </c>
      <c r="O469" s="93">
        <f t="shared" ca="1" si="207"/>
        <v>4.370473829563708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si="210"/>
        <v>0</v>
      </c>
      <c r="N470" s="497">
        <f t="shared" si="210"/>
        <v>17930</v>
      </c>
      <c r="O470" s="497">
        <f t="shared" ca="1" si="207"/>
        <v>4.370473829563708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v>0</v>
      </c>
      <c r="N472" s="93">
        <f>N473+N474+N475+N476</f>
        <v>17930</v>
      </c>
      <c r="O472" s="93">
        <f t="shared" ca="1" si="207"/>
        <v>4.370473829563708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17930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IFERROR(__xludf.DUMMYFUNCTION("IMPORTRANGE(""https://docs.google.com/spreadsheets/d/1QqKyyYR6Q21VydFLVH3TRQUabQu_ym0Zz7PgGX0-kHA/edit?usp=sharing"",""แผน!GU34"")"),0)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99295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689881</v>
      </c>
      <c r="M544" s="155">
        <f t="shared" si="236"/>
        <v>0</v>
      </c>
      <c r="N544" s="155">
        <f t="shared" si="236"/>
        <v>154509</v>
      </c>
      <c r="O544" s="155">
        <f t="shared" ref="O544:O549" ca="1" si="237">IF(L544&gt;0,N544*100/L544,0)</f>
        <v>22.396471275480845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689881</v>
      </c>
      <c r="M546" s="93">
        <f t="shared" si="240"/>
        <v>0</v>
      </c>
      <c r="N546" s="93">
        <f t="shared" si="240"/>
        <v>154509</v>
      </c>
      <c r="O546" s="93">
        <f t="shared" ca="1" si="237"/>
        <v>22.396471275480845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689881</v>
      </c>
      <c r="M547" s="497">
        <f t="shared" si="241"/>
        <v>0</v>
      </c>
      <c r="N547" s="497">
        <f t="shared" si="241"/>
        <v>154509</v>
      </c>
      <c r="O547" s="497">
        <f t="shared" ca="1" si="237"/>
        <v>22.396471275480845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IFERROR(__xludf.DUMMYFUNCTION("IMPORTRANGE(""https://docs.google.com/spreadsheets/d/1QqKyyYR6Q21VydFLVH3TRQUabQu_ym0Zz7PgGX0-kHA/edit?usp=sharing"",""แผน!HB34"")"),689881)</f>
        <v>689881</v>
      </c>
      <c r="M549" s="93">
        <v>0</v>
      </c>
      <c r="N549" s="93">
        <f>N550+N551+N552+N553+N554</f>
        <v>154509</v>
      </c>
      <c r="O549" s="93">
        <f t="shared" ca="1" si="237"/>
        <v>22.396471275480845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32700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37266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f>83435+1108</f>
        <v>84543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99295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8071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3000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5">
        <f t="shared" ref="J568:J569" si="248">J570+J572+J574</f>
        <v>29682</v>
      </c>
      <c r="K568" s="411">
        <f t="shared" ref="K568:K569" ca="1" si="249">IF(I568&gt;0,J568*100/I568,0)</f>
        <v>29.892743844100913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5">
        <f t="shared" si="248"/>
        <v>2506</v>
      </c>
      <c r="K569" s="411">
        <f t="shared" ca="1" si="249"/>
        <v>31.28589263420724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27758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2341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1334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104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590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61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8081.89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IFERROR(__xludf.DUMMYFUNCTION("IMPORTRANGE(""https://docs.google.com/spreadsheets/d/1QqKyyYR6Q21VydFLVH3TRQUabQu_ym0Zz7PgGX0-kHA/edit?usp=sharing"",""แผน!HL34"")"),121)</f>
        <v>121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IFERROR(__xludf.DUMMYFUNCTION("IMPORTRANGE(""https://docs.google.com/spreadsheets/d/1QqKyyYR6Q21VydFLVH3TRQUabQu_ym0Zz7PgGX0-kHA/edit?usp=sharing"",""แผน!HK34"")"),6)</f>
        <v>6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1200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si="263"/>
        <v>0</v>
      </c>
      <c r="N629" s="195">
        <f t="shared" si="263"/>
        <v>276260</v>
      </c>
      <c r="O629" s="195">
        <f t="shared" ref="O629:O634" ca="1" si="264">IF(L629&gt;0,N629*100/L629,0)</f>
        <v>24.183058028484641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1142370</v>
      </c>
      <c r="M631" s="93">
        <f t="shared" si="266"/>
        <v>0</v>
      </c>
      <c r="N631" s="93">
        <f t="shared" si="266"/>
        <v>276260</v>
      </c>
      <c r="O631" s="93">
        <f t="shared" ca="1" si="264"/>
        <v>24.183058028484641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si="267"/>
        <v>0</v>
      </c>
      <c r="N632" s="497">
        <f t="shared" si="267"/>
        <v>276260</v>
      </c>
      <c r="O632" s="497">
        <f t="shared" ca="1" si="264"/>
        <v>24.183058028484641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v>0</v>
      </c>
      <c r="N634" s="93">
        <f>N635+N636+N637+N638</f>
        <v>276260</v>
      </c>
      <c r="O634" s="93">
        <f t="shared" ca="1" si="264"/>
        <v>24.183058028484641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45000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f>26000+25580+26000</f>
        <v>77580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f>57760+46260+11040+40620-2000</f>
        <v>153680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IFERROR(__xludf.DUMMYFUNCTION("IMPORTRANGE(""https://docs.google.com/spreadsheets/d/1XWAQStnk-4SwqDmLtmXYiTMKHgktTP8We1SCoS47DrQ/edit?usp=sharing"",""จัดที่ดิน!AS34"")"),736)</f>
        <v>736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IFERROR(__xludf.DUMMYFUNCTION("IMPORTRANGE(""https://docs.google.com/spreadsheets/d/1XWAQStnk-4SwqDmLtmXYiTMKHgktTP8We1SCoS47DrQ/edit?usp=sharing"",""จัดที่ดิน!AT34"")"),431.7)</f>
        <v>431.7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IFERROR(__xludf.DUMMYFUNCTION("IMPORTRANGE(""https://docs.google.com/spreadsheets/d/1XWAQStnk-4SwqDmLtmXYiTMKHgktTP8We1SCoS47DrQ/edit?usp=sharing"",""จัดที่ดิน!AU34"")"),289)</f>
        <v>289</v>
      </c>
      <c r="K647" s="163">
        <f t="shared" ca="1" si="271"/>
        <v>24.083333333333332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IFERROR(__xludf.DUMMYFUNCTION("IMPORTRANGE(""https://docs.google.com/spreadsheets/d/1XWAQStnk-4SwqDmLtmXYiTMKHgktTP8We1SCoS47DrQ/edit?usp=sharing"",""จัดที่ดิน!AV34"")"),160.96)</f>
        <v>160.96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IFERROR(__xludf.DUMMYFUNCTION("IMPORTRANGE(""https://docs.google.com/spreadsheets/d/1XWAQStnk-4SwqDmLtmXYiTMKHgktTP8We1SCoS47DrQ/edit?usp=sharing"",""จัดที่ดิน!AW34"")"),247)</f>
        <v>247</v>
      </c>
      <c r="K649" s="163">
        <f t="shared" ca="1" si="271"/>
        <v>20.583333333333332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IFERROR(__xludf.DUMMYFUNCTION("IMPORTRANGE(""https://docs.google.com/spreadsheets/d/1XWAQStnk-4SwqDmLtmXYiTMKHgktTP8We1SCoS47DrQ/edit?usp=sharing"",""จัดที่ดิน!AX34"")"),138.78)</f>
        <v>138.78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IFERROR(__xludf.DUMMYFUNCTION("IMPORTRANGE(""https://docs.google.com/spreadsheets/d/1XWAQStnk-4SwqDmLtmXYiTMKHgktTP8We1SCoS47DrQ/edit?usp=sharing"",""จัดที่ดิน!AZ34"")"),0)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3880</v>
      </c>
      <c r="O655" s="195">
        <f t="shared" ref="O655:O660" ca="1" si="274">IF(L655&gt;0,N655*100/L655,0)</f>
        <v>24.871794871794872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3880</v>
      </c>
      <c r="O657" s="93">
        <f t="shared" ca="1" si="274"/>
        <v>24.871794871794872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si="277"/>
        <v>0</v>
      </c>
      <c r="N658" s="497">
        <f t="shared" si="277"/>
        <v>3880</v>
      </c>
      <c r="O658" s="497">
        <f t="shared" ca="1" si="274"/>
        <v>24.871794871794872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v>0</v>
      </c>
      <c r="N660" s="93">
        <f>N661+N662+N663+N664</f>
        <v>3880</v>
      </c>
      <c r="O660" s="93">
        <f t="shared" ca="1" si="274"/>
        <v>24.871794871794872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f>2520+1360</f>
        <v>3880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IFERROR(__xludf.DUMMYFUNCTION("IMPORTRANGE(""https://docs.google.com/spreadsheets/d/1QqKyyYR6Q21VydFLVH3TRQUabQu_ym0Zz7PgGX0-kHA/edit?usp=sharing"",""แผน!IA34"")"),100)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IFERROR(__xludf.DUMMYFUNCTION("IMPORTRANGE(""https://docs.google.com/spreadsheets/d/1QqKyyYR6Q21VydFLVH3TRQUabQu_ym0Zz7PgGX0-kHA/edit?usp=sharing"",""แผน!IB34"")"),0)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57400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IFERROR(__xludf.DUMMYFUNCTION("IMPORTRANGE(""https://docs.google.com/spreadsheets/d/1QqKyyYR6Q21VydFLVH3TRQUabQu_ym0Zz7PgGX0-kHA/edit?usp=sharing"",""แผน!IE34"")"),1368)</f>
        <v>1368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IFERROR(__xludf.DUMMYFUNCTION("IMPORTRANGE(""https://docs.google.com/spreadsheets/d/1QqKyyYR6Q21VydFLVH3TRQUabQu_ym0Zz7PgGX0-kHA/edit?usp=sharing"",""แผน!IH34"")"),84)</f>
        <v>84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IFERROR(__xludf.DUMMYFUNCTION("IMPORTRANGE(""https://docs.google.com/spreadsheets/d/1QqKyyYR6Q21VydFLVH3TRQUabQu_ym0Zz7PgGX0-kHA/edit?usp=sharing"",""แผน!IJ34"")"),45)</f>
        <v>45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IFERROR(__xludf.DUMMYFUNCTION("IMPORTRANGE(""https://docs.google.com/spreadsheets/d/1QqKyyYR6Q21VydFLVH3TRQUabQu_ym0Zz7PgGX0-kHA/edit?usp=sharing"",""แผน!IK34"")"),540)</f>
        <v>540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IFERROR(__xludf.DUMMYFUNCTION("IMPORTRANGE(""https://docs.google.com/spreadsheets/d/1QqKyyYR6Q21VydFLVH3TRQUabQu_ym0Zz7PgGX0-kHA/edit?usp=sharing"",""แผน!IP34"")"),192)</f>
        <v>192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IFERROR(__xludf.DUMMYFUNCTION("IMPORTRANGE(""https://docs.google.com/spreadsheets/d/19vJNZY_5yjcGF2XGBMNZRCAIB0Kwfpjp8YEOfu-bneM/edit?usp=sharing"",""งานกองทุน!F34"")"),1440000)</f>
        <v>1440000</v>
      </c>
      <c r="K821" s="497">
        <f t="shared" ref="K821:K828" ca="1" si="335">IF(I821&gt;0,J821*100/I821,0)</f>
        <v>45.166784562429648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IFERROR(__xludf.DUMMYFUNCTION("IMPORTRANGE(""https://docs.google.com/spreadsheets/d/19vJNZY_5yjcGF2XGBMNZRCAIB0Kwfpjp8YEOfu-bneM/edit?usp=sharing"",""งานกองทุน!E34"")"),45)</f>
        <v>45</v>
      </c>
      <c r="K822" s="497">
        <f t="shared" ca="1" si="335"/>
        <v>46.875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IFERROR(__xludf.DUMMYFUNCTION("IMPORTRANGE(""https://docs.google.com/spreadsheets/d/19vJNZY_5yjcGF2XGBMNZRCAIB0Kwfpjp8YEOfu-bneM/edit?usp=sharing"",""งานกองทุน!K34"")"),283532.61)</f>
        <v>283532.61</v>
      </c>
      <c r="K823" s="497">
        <f t="shared" ca="1" si="335"/>
        <v>3.5253112099190753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IFERROR(__xludf.DUMMYFUNCTION("IMPORTRANGE(""https://docs.google.com/spreadsheets/d/19vJNZY_5yjcGF2XGBMNZRCAIB0Kwfpjp8YEOfu-bneM/edit?usp=sharing"",""งานกองทุน!J34"")"),94)</f>
        <v>94</v>
      </c>
      <c r="K824" s="497">
        <f t="shared" ca="1" si="335"/>
        <v>28.059701492537314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IFERROR(__xludf.DUMMYFUNCTION("IMPORTRANGE(""https://docs.google.com/spreadsheets/d/19vJNZY_5yjcGF2XGBMNZRCAIB0Kwfpjp8YEOfu-bneM/edit?usp=sharing"",""งานกองทุน!P34"")"),655952.51)</f>
        <v>655952.51</v>
      </c>
      <c r="K825" s="497">
        <f t="shared" ca="1" si="335"/>
        <v>86.760307391274026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IFERROR(__xludf.DUMMYFUNCTION("IMPORTRANGE(""https://docs.google.com/spreadsheets/d/19vJNZY_5yjcGF2XGBMNZRCAIB0Kwfpjp8YEOfu-bneM/edit?usp=sharing"",""งานกองทุน!O34"")"),24)</f>
        <v>24</v>
      </c>
      <c r="K826" s="497">
        <f t="shared" ca="1" si="335"/>
        <v>35.820895522388057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IFERROR(__xludf.DUMMYFUNCTION("IMPORTRANGE(""https://docs.google.com/spreadsheets/d/19vJNZY_5yjcGF2XGBMNZRCAIB0Kwfpjp8YEOfu-bneM/edit?usp=sharing"",""งานกองทุน!R34"")"),157)</f>
        <v>157</v>
      </c>
      <c r="J828" s="500">
        <f ca="1">IFERROR(__xludf.DUMMYFUNCTION("IMPORTRANGE(""https://docs.google.com/spreadsheets/d/19vJNZY_5yjcGF2XGBMNZRCAIB0Kwfpjp8YEOfu-bneM/edit?usp=sharing"",""งานกองทุน!T34"")"),0)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2C888-7247-4C83-A312-613CB81FA63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339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2387600</v>
      </c>
      <c r="N8" s="22">
        <f t="shared" ca="1" si="0"/>
        <v>1460657.63</v>
      </c>
      <c r="O8" s="22">
        <f t="shared" ref="O8:O16" ca="1" si="1">IF(L8&gt;0,N8*100/L8,0)</f>
        <v>27.029598889250561</v>
      </c>
      <c r="P8" s="22">
        <f t="shared" ref="P8:P16" ca="1" si="2">IF(M8&gt;0,N8*100/M8,0)</f>
        <v>61.17681479309767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2387600</v>
      </c>
      <c r="N10" s="30">
        <f t="shared" ca="1" si="3"/>
        <v>1460657.63</v>
      </c>
      <c r="O10" s="30">
        <f t="shared" ca="1" si="1"/>
        <v>27.029598889250561</v>
      </c>
      <c r="P10" s="30">
        <f t="shared" ca="1" si="2"/>
        <v>61.17681479309767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5228519</v>
      </c>
      <c r="M11" s="497">
        <f t="shared" ca="1" si="4"/>
        <v>2226200</v>
      </c>
      <c r="N11" s="497">
        <f t="shared" ca="1" si="4"/>
        <v>1299257.6299999999</v>
      </c>
      <c r="O11" s="497">
        <f t="shared" ca="1" si="1"/>
        <v>24.849438818143337</v>
      </c>
      <c r="P11" s="497">
        <f t="shared" ca="1" si="2"/>
        <v>58.362125145988671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5228519</v>
      </c>
      <c r="M13" s="93">
        <f t="shared" ca="1" si="5"/>
        <v>2226200</v>
      </c>
      <c r="N13" s="93">
        <f t="shared" ca="1" si="5"/>
        <v>1299257.6299999999</v>
      </c>
      <c r="O13" s="93">
        <f t="shared" ca="1" si="1"/>
        <v>24.849438818143337</v>
      </c>
      <c r="P13" s="93">
        <f t="shared" ca="1" si="2"/>
        <v>58.362125145988671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2387600</v>
      </c>
      <c r="N18" s="22">
        <f t="shared" ca="1" si="8"/>
        <v>1052122.98</v>
      </c>
      <c r="O18" s="22">
        <f t="shared" ref="O18:O26" ca="1" si="9">IF(L18&gt;0,N18*100/L18,0)</f>
        <v>31.290135391341199</v>
      </c>
      <c r="P18" s="22">
        <f t="shared" ref="P18:P26" ca="1" si="10">IF(M18&gt;0,N18*100/M18,0)</f>
        <v>44.066132518009717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2387600</v>
      </c>
      <c r="N20" s="30">
        <f t="shared" ca="1" si="11"/>
        <v>1052122.98</v>
      </c>
      <c r="O20" s="30">
        <f t="shared" ca="1" si="9"/>
        <v>31.290135391341199</v>
      </c>
      <c r="P20" s="30">
        <f t="shared" ca="1" si="10"/>
        <v>44.066132518009717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2226200</v>
      </c>
      <c r="N21" s="497">
        <f t="shared" ca="1" si="12"/>
        <v>890722.98</v>
      </c>
      <c r="O21" s="497">
        <f t="shared" ca="1" si="9"/>
        <v>27.947976749841157</v>
      </c>
      <c r="P21" s="497">
        <f t="shared" ca="1" si="10"/>
        <v>40.010914562932349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3187075</v>
      </c>
      <c r="M23" s="93">
        <f t="shared" ca="1" si="13"/>
        <v>2226200</v>
      </c>
      <c r="N23" s="93">
        <f t="shared" ca="1" si="13"/>
        <v>890722.98</v>
      </c>
      <c r="O23" s="93">
        <f t="shared" ca="1" si="9"/>
        <v>27.947976749841157</v>
      </c>
      <c r="P23" s="93">
        <f t="shared" ca="1" si="10"/>
        <v>40.010914562932349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si="16"/>
        <v>0</v>
      </c>
      <c r="N28" s="22">
        <f t="shared" si="16"/>
        <v>408534.65</v>
      </c>
      <c r="O28" s="22">
        <f t="shared" ref="O28:O37" ca="1" si="17">IF(L28&gt;0,N28*100/L28,0)</f>
        <v>20.012042946071507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si="19"/>
        <v>0</v>
      </c>
      <c r="N30" s="30">
        <f t="shared" si="19"/>
        <v>408534.65</v>
      </c>
      <c r="O30" s="30">
        <f t="shared" ca="1" si="17"/>
        <v>20.012042946071507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2041444</v>
      </c>
      <c r="M31" s="497">
        <f t="shared" si="20"/>
        <v>0</v>
      </c>
      <c r="N31" s="497">
        <f t="shared" si="20"/>
        <v>408534.65</v>
      </c>
      <c r="O31" s="497">
        <f t="shared" ca="1" si="17"/>
        <v>20.012042946071507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2041444</v>
      </c>
      <c r="M33" s="93">
        <f t="shared" si="21"/>
        <v>0</v>
      </c>
      <c r="N33" s="93">
        <f t="shared" si="21"/>
        <v>408534.65</v>
      </c>
      <c r="O33" s="93">
        <f t="shared" ca="1" si="17"/>
        <v>20.012042946071507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3362475</v>
      </c>
      <c r="M37" s="843">
        <f t="shared" ca="1" si="24"/>
        <v>2387600</v>
      </c>
      <c r="N37" s="843">
        <f t="shared" ca="1" si="24"/>
        <v>1052122.98</v>
      </c>
      <c r="O37" s="843">
        <f t="shared" ca="1" si="17"/>
        <v>31.290135391341199</v>
      </c>
      <c r="P37" s="843">
        <f t="shared" ca="1" si="18"/>
        <v>44.066132518009717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434730</v>
      </c>
      <c r="N41" s="85">
        <f t="shared" ca="1" si="25"/>
        <v>144690</v>
      </c>
      <c r="O41" s="85">
        <f t="shared" ref="O41:O49" ca="1" si="26">IF(L41&gt;0,N41*100/L41,0)</f>
        <v>33.423423423423422</v>
      </c>
      <c r="P41" s="85">
        <f t="shared" ref="P41:P49" ca="1" si="27">IF(M41&gt;0,N41*100/M41,0)</f>
        <v>33.282727209992409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434730</v>
      </c>
      <c r="N43" s="92">
        <f t="shared" ca="1" si="28"/>
        <v>144690</v>
      </c>
      <c r="O43" s="92">
        <f t="shared" ca="1" si="26"/>
        <v>33.423423423423422</v>
      </c>
      <c r="P43" s="92">
        <f t="shared" ca="1" si="27"/>
        <v>33.282727209992409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434730</v>
      </c>
      <c r="N44" s="497">
        <f t="shared" ca="1" si="29"/>
        <v>144690</v>
      </c>
      <c r="O44" s="497">
        <f t="shared" ca="1" si="26"/>
        <v>33.423423423423422</v>
      </c>
      <c r="P44" s="497">
        <f t="shared" ca="1" si="27"/>
        <v>33.282727209992409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IFERROR(__xludf.DUMMYFUNCTION("IMPORTRANGE(""https://docs.google.com/spreadsheets/d/1MeEWN-I1oV_STSDYn1IFDPWt_1FKiwhDph83XaGc0o0/edit?usp=sharing"",""งบพรบ!R35"")"),434730)</f>
        <v>434730</v>
      </c>
      <c r="N46" s="93">
        <f ca="1">IFERROR(__xludf.DUMMYFUNCTION("IMPORTRANGE(""https://docs.google.com/spreadsheets/d/1MeEWN-I1oV_STSDYn1IFDPWt_1FKiwhDph83XaGc0o0/edit?usp=sharing"",""งบพรบ!T35"")"),144690)</f>
        <v>144690</v>
      </c>
      <c r="O46" s="93">
        <f t="shared" ca="1" si="26"/>
        <v>33.423423423423422</v>
      </c>
      <c r="P46" s="93">
        <f t="shared" ca="1" si="27"/>
        <v>33.282727209992409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505575</v>
      </c>
      <c r="N53" s="116">
        <f t="shared" ca="1" si="31"/>
        <v>229642.79</v>
      </c>
      <c r="O53" s="116">
        <f t="shared" ref="O53:O61" ca="1" si="32">IF(L53&gt;0,N53*100/L53,0)</f>
        <v>34.076686451995847</v>
      </c>
      <c r="P53" s="116">
        <f t="shared" ref="P53:P61" ca="1" si="33">IF(M53&gt;0,N53*100/M53,0)</f>
        <v>45.422101567522127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505575</v>
      </c>
      <c r="N55" s="123">
        <f t="shared" ca="1" si="34"/>
        <v>229642.79</v>
      </c>
      <c r="O55" s="123">
        <f t="shared" ca="1" si="32"/>
        <v>34.076686451995847</v>
      </c>
      <c r="P55" s="123">
        <f t="shared" ca="1" si="33"/>
        <v>45.422101567522127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475575</v>
      </c>
      <c r="N56" s="497">
        <f t="shared" ca="1" si="35"/>
        <v>199642.79</v>
      </c>
      <c r="O56" s="497">
        <f t="shared" ca="1" si="32"/>
        <v>31.48443305472323</v>
      </c>
      <c r="P56" s="497">
        <f t="shared" ca="1" si="33"/>
        <v>41.979244072964306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IFERROR(__xludf.DUMMYFUNCTION("IMPORTRANGE(""https://docs.google.com/spreadsheets/d/1MeEWN-I1oV_STSDYn1IFDPWt_1FKiwhDph83XaGc0o0/edit?usp=sharing"",""งบพรบ!AB35"")"),475575)</f>
        <v>475575</v>
      </c>
      <c r="N58" s="93">
        <f ca="1">IFERROR(__xludf.DUMMYFUNCTION("IMPORTRANGE(""https://docs.google.com/spreadsheets/d/1MeEWN-I1oV_STSDYn1IFDPWt_1FKiwhDph83XaGc0o0/edit?usp=sharing"",""งบพรบ!AD35"")"),199642.79)</f>
        <v>199642.79</v>
      </c>
      <c r="O58" s="93">
        <f t="shared" ca="1" si="32"/>
        <v>31.48443305472323</v>
      </c>
      <c r="P58" s="93">
        <f t="shared" ca="1" si="33"/>
        <v>41.979244072964306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532850</v>
      </c>
      <c r="N66" s="155">
        <f t="shared" ca="1" si="39"/>
        <v>155183.89000000001</v>
      </c>
      <c r="O66" s="155">
        <f t="shared" ref="O66:O74" ca="1" si="40">IF(L66&gt;0,N66*100/L66,0)</f>
        <v>17.532921703762288</v>
      </c>
      <c r="P66" s="155">
        <f t="shared" ref="P66:P74" ca="1" si="41">IF(M66&gt;0,N66*100/M66,0)</f>
        <v>29.123372431265839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885100</v>
      </c>
      <c r="M68" s="93">
        <f t="shared" ca="1" si="42"/>
        <v>532850</v>
      </c>
      <c r="N68" s="93">
        <f t="shared" ca="1" si="42"/>
        <v>155183.89000000001</v>
      </c>
      <c r="O68" s="93">
        <f t="shared" ca="1" si="40"/>
        <v>17.532921703762288</v>
      </c>
      <c r="P68" s="93">
        <f t="shared" ca="1" si="41"/>
        <v>29.123372431265839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532850</v>
      </c>
      <c r="N69" s="497">
        <f t="shared" ca="1" si="43"/>
        <v>155183.89000000001</v>
      </c>
      <c r="O69" s="497">
        <f t="shared" ca="1" si="40"/>
        <v>17.532921703762288</v>
      </c>
      <c r="P69" s="497">
        <f t="shared" ca="1" si="41"/>
        <v>29.123372431265839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IFERROR(__xludf.DUMMYFUNCTION("IMPORTRANGE(""https://docs.google.com/spreadsheets/d/1MeEWN-I1oV_STSDYn1IFDPWt_1FKiwhDph83XaGc0o0/edit?usp=sharing"",""งบพรบ!AL35"")"),532850)</f>
        <v>532850</v>
      </c>
      <c r="N71" s="93">
        <f ca="1">IFERROR(__xludf.DUMMYFUNCTION("IMPORTRANGE(""https://docs.google.com/spreadsheets/d/1MeEWN-I1oV_STSDYn1IFDPWt_1FKiwhDph83XaGc0o0/edit?usp=sharing"",""งบพรบ!AN35"")"),155183.89)</f>
        <v>155183.89000000001</v>
      </c>
      <c r="O71" s="93">
        <f t="shared" ca="1" si="40"/>
        <v>17.532921703762288</v>
      </c>
      <c r="P71" s="93">
        <f t="shared" ca="1" si="41"/>
        <v>29.123372431265839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23640</v>
      </c>
      <c r="N88" s="155">
        <f t="shared" ca="1" si="49"/>
        <v>21820</v>
      </c>
      <c r="O88" s="155">
        <f t="shared" ref="O88:O96" ca="1" si="50">IF(L88&gt;0,N88*100/L88,0)</f>
        <v>25.419384902143523</v>
      </c>
      <c r="P88" s="155">
        <f t="shared" ref="P88:P96" ca="1" si="51">IF(M88&gt;0,N88*100/M88,0)</f>
        <v>92.301184433164124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85840</v>
      </c>
      <c r="M90" s="93">
        <f t="shared" ca="1" si="52"/>
        <v>23640</v>
      </c>
      <c r="N90" s="93">
        <f t="shared" ca="1" si="52"/>
        <v>21820</v>
      </c>
      <c r="O90" s="93">
        <f t="shared" ca="1" si="50"/>
        <v>25.419384902143523</v>
      </c>
      <c r="P90" s="93">
        <f t="shared" ca="1" si="51"/>
        <v>92.301184433164124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23640</v>
      </c>
      <c r="N91" s="497">
        <f t="shared" ca="1" si="53"/>
        <v>21820</v>
      </c>
      <c r="O91" s="497">
        <f t="shared" ca="1" si="50"/>
        <v>25.419384902143523</v>
      </c>
      <c r="P91" s="497">
        <f t="shared" ca="1" si="51"/>
        <v>92.301184433164124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IFERROR(__xludf.DUMMYFUNCTION("IMPORTRANGE(""https://docs.google.com/spreadsheets/d/1MeEWN-I1oV_STSDYn1IFDPWt_1FKiwhDph83XaGc0o0/edit?usp=sharing"",""งบพรบ!AV35"")"),23640)</f>
        <v>23640</v>
      </c>
      <c r="N93" s="93">
        <f ca="1">IFERROR(__xludf.DUMMYFUNCTION("IMPORTRANGE(""https://docs.google.com/spreadsheets/d/1MeEWN-I1oV_STSDYn1IFDPWt_1FKiwhDph83XaGc0o0/edit?usp=sharing"",""งบพรบ!AX35"")"),21820)</f>
        <v>21820</v>
      </c>
      <c r="O93" s="93">
        <f t="shared" ca="1" si="50"/>
        <v>25.419384902143523</v>
      </c>
      <c r="P93" s="93">
        <f t="shared" ca="1" si="51"/>
        <v>92.301184433164124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60500</v>
      </c>
      <c r="N181" s="155">
        <f t="shared" ca="1" si="92"/>
        <v>32000</v>
      </c>
      <c r="O181" s="155">
        <f t="shared" ref="O181:O189" ca="1" si="93">IF(L181&gt;0,N181*100/L181,0)</f>
        <v>48.854961832061072</v>
      </c>
      <c r="P181" s="155">
        <f t="shared" ref="P181:P189" ca="1" si="94">IF(M181&gt;0,N181*100/M181,0)</f>
        <v>52.892561983471076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65500</v>
      </c>
      <c r="M183" s="93">
        <f t="shared" ca="1" si="95"/>
        <v>60500</v>
      </c>
      <c r="N183" s="93">
        <f t="shared" ca="1" si="95"/>
        <v>32000</v>
      </c>
      <c r="O183" s="93">
        <f t="shared" ca="1" si="93"/>
        <v>48.854961832061072</v>
      </c>
      <c r="P183" s="93">
        <f t="shared" ca="1" si="94"/>
        <v>52.892561983471076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60500</v>
      </c>
      <c r="N184" s="497">
        <f t="shared" ca="1" si="96"/>
        <v>32000</v>
      </c>
      <c r="O184" s="497">
        <f t="shared" ca="1" si="93"/>
        <v>48.854961832061072</v>
      </c>
      <c r="P184" s="497">
        <f t="shared" ca="1" si="94"/>
        <v>52.892561983471076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IFERROR(__xludf.DUMMYFUNCTION("IMPORTRANGE(""https://docs.google.com/spreadsheets/d/1MeEWN-I1oV_STSDYn1IFDPWt_1FKiwhDph83XaGc0o0/edit?usp=sharing"",""งบพรบ!CT35"")"),60500)</f>
        <v>60500</v>
      </c>
      <c r="N186" s="93">
        <f ca="1">IFERROR(__xludf.DUMMYFUNCTION("IMPORTRANGE(""https://docs.google.com/spreadsheets/d/1MeEWN-I1oV_STSDYn1IFDPWt_1FKiwhDph83XaGc0o0/edit?usp=sharing"",""งบพรบ!CV35"")"),32000)</f>
        <v>32000</v>
      </c>
      <c r="O186" s="93">
        <f t="shared" ca="1" si="93"/>
        <v>48.854961832061072</v>
      </c>
      <c r="P186" s="93">
        <f t="shared" ca="1" si="94"/>
        <v>52.892561983471076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24000</v>
      </c>
      <c r="O198" s="155">
        <f ca="1">IF(L198&gt;0,N198*100/L198,0)</f>
        <v>61.53846153846154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4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4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127900</v>
      </c>
      <c r="N261" s="155">
        <f t="shared" ca="1" si="116"/>
        <v>72894.5</v>
      </c>
      <c r="O261" s="155">
        <f t="shared" ref="O261:O269" ca="1" si="117">IF(L261&gt;0,N261*100/L261,0)</f>
        <v>42.904355503237198</v>
      </c>
      <c r="P261" s="155">
        <f t="shared" ref="P261:P269" ca="1" si="118">IF(M261&gt;0,N261*100/M261,0)</f>
        <v>56.993354182955436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169900</v>
      </c>
      <c r="M263" s="93">
        <f t="shared" ca="1" si="119"/>
        <v>127900</v>
      </c>
      <c r="N263" s="93">
        <f t="shared" ca="1" si="119"/>
        <v>72894.5</v>
      </c>
      <c r="O263" s="93">
        <f t="shared" ca="1" si="117"/>
        <v>42.904355503237198</v>
      </c>
      <c r="P263" s="93">
        <f t="shared" ca="1" si="118"/>
        <v>56.993354182955436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127900</v>
      </c>
      <c r="N264" s="497">
        <f t="shared" ca="1" si="120"/>
        <v>72894.5</v>
      </c>
      <c r="O264" s="497">
        <f t="shared" ca="1" si="117"/>
        <v>42.904355503237198</v>
      </c>
      <c r="P264" s="497">
        <f t="shared" ca="1" si="118"/>
        <v>56.993354182955436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IFERROR(__xludf.DUMMYFUNCTION("IMPORTRANGE(""https://docs.google.com/spreadsheets/d/1MeEWN-I1oV_STSDYn1IFDPWt_1FKiwhDph83XaGc0o0/edit?usp=sharing"",""งบพรบ!DD35"")"),127900)</f>
        <v>127900</v>
      </c>
      <c r="N266" s="93">
        <f ca="1">IFERROR(__xludf.DUMMYFUNCTION("IMPORTRANGE(""https://docs.google.com/spreadsheets/d/1MeEWN-I1oV_STSDYn1IFDPWt_1FKiwhDph83XaGc0o0/edit?usp=sharing"",""งบพรบ!DF35"")"),72894.5)</f>
        <v>72894.5</v>
      </c>
      <c r="O266" s="93">
        <f t="shared" ca="1" si="117"/>
        <v>42.904355503237198</v>
      </c>
      <c r="P266" s="93">
        <f t="shared" ca="1" si="118"/>
        <v>56.993354182955436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100</v>
      </c>
      <c r="J276" s="855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9930</v>
      </c>
      <c r="O277" s="155">
        <f t="shared" ref="O277:O285" ca="1" si="126">IF(L277&gt;0,N277*100/L277,0)</f>
        <v>24.213606437454281</v>
      </c>
      <c r="P277" s="155">
        <f t="shared" ref="P277:P285" ca="1" si="127">IF(M277&gt;0,N277*100/M277,0)</f>
        <v>45.239179954441916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9930</v>
      </c>
      <c r="O279" s="93">
        <f t="shared" ca="1" si="126"/>
        <v>24.213606437454281</v>
      </c>
      <c r="P279" s="93">
        <f t="shared" ca="1" si="127"/>
        <v>45.239179954441916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9930</v>
      </c>
      <c r="O280" s="497">
        <f t="shared" ca="1" si="126"/>
        <v>24.213606437454281</v>
      </c>
      <c r="P280" s="497">
        <f t="shared" ca="1" si="127"/>
        <v>45.239179954441916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IFERROR(__xludf.DUMMYFUNCTION("IMPORTRANGE(""https://docs.google.com/spreadsheets/d/1MeEWN-I1oV_STSDYn1IFDPWt_1FKiwhDph83XaGc0o0/edit?usp=sharing"",""งบพรบ!DN35"")"),21950)</f>
        <v>21950</v>
      </c>
      <c r="N282" s="93">
        <f ca="1">IFERROR(__xludf.DUMMYFUNCTION("IMPORTRANGE(""https://docs.google.com/spreadsheets/d/1MeEWN-I1oV_STSDYn1IFDPWt_1FKiwhDph83XaGc0o0/edit?usp=sharing"",""งบพรบ!DP35"")"),9930)</f>
        <v>9930</v>
      </c>
      <c r="O282" s="93">
        <f t="shared" ca="1" si="126"/>
        <v>24.213606437454281</v>
      </c>
      <c r="P282" s="93">
        <f t="shared" ca="1" si="127"/>
        <v>45.239179954441916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IFERROR(__xludf.DUMMYFUNCTION("IMPORTRANGE(""https://docs.google.com/spreadsheets/d/1QqKyyYR6Q21VydFLVH3TRQUabQu_ym0Zz7PgGX0-kHA/edit?usp=sharing"",""แผน!EB35"")"),10)</f>
        <v>10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37840</v>
      </c>
      <c r="N298" s="155">
        <f t="shared" ca="1" si="135"/>
        <v>11100</v>
      </c>
      <c r="O298" s="155">
        <f t="shared" ref="O298:O306" ca="1" si="136">IF(L298&gt;0,N298*100/L298,0)</f>
        <v>17.398119122257054</v>
      </c>
      <c r="P298" s="155">
        <f t="shared" ref="P298:P306" ca="1" si="137">IF(M298&gt;0,N298*100/M298,0)</f>
        <v>29.334038054968289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63800</v>
      </c>
      <c r="M300" s="93">
        <f t="shared" ca="1" si="138"/>
        <v>37840</v>
      </c>
      <c r="N300" s="93">
        <f t="shared" ca="1" si="138"/>
        <v>11100</v>
      </c>
      <c r="O300" s="93">
        <f t="shared" ca="1" si="136"/>
        <v>17.398119122257054</v>
      </c>
      <c r="P300" s="93">
        <f t="shared" ca="1" si="137"/>
        <v>29.334038054968289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37840</v>
      </c>
      <c r="N301" s="497">
        <f t="shared" ca="1" si="139"/>
        <v>11100</v>
      </c>
      <c r="O301" s="497">
        <f t="shared" ca="1" si="136"/>
        <v>17.398119122257054</v>
      </c>
      <c r="P301" s="497">
        <f t="shared" ca="1" si="137"/>
        <v>29.334038054968289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IFERROR(__xludf.DUMMYFUNCTION("IMPORTRANGE(""https://docs.google.com/spreadsheets/d/1MeEWN-I1oV_STSDYn1IFDPWt_1FKiwhDph83XaGc0o0/edit?usp=sharing"",""งบพรบ!DX35"")"),37840)</f>
        <v>37840</v>
      </c>
      <c r="N303" s="93">
        <f ca="1">IFERROR(__xludf.DUMMYFUNCTION("IMPORTRANGE(""https://docs.google.com/spreadsheets/d/1MeEWN-I1oV_STSDYn1IFDPWt_1FKiwhDph83XaGc0o0/edit?usp=sharing"",""งบพรบ!DZ35"")"),11100)</f>
        <v>11100</v>
      </c>
      <c r="O303" s="93">
        <f t="shared" ca="1" si="136"/>
        <v>17.398119122257054</v>
      </c>
      <c r="P303" s="93">
        <f t="shared" ca="1" si="137"/>
        <v>29.334038054968289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677</v>
      </c>
      <c r="K327" s="445">
        <f ca="1">IF(I327&gt;0,J327*100/I327,0)</f>
        <v>52.07692307692308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85000</v>
      </c>
      <c r="N328" s="155">
        <f t="shared" ca="1" si="149"/>
        <v>40120</v>
      </c>
      <c r="O328" s="155">
        <f t="shared" ref="O328:O336" ca="1" si="150">IF(L328&gt;0,N328*100/L328,0)</f>
        <v>23.6</v>
      </c>
      <c r="P328" s="155">
        <f t="shared" ref="P328:P336" ca="1" si="151">IF(M328&gt;0,N328*100/M328,0)</f>
        <v>47.2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170000</v>
      </c>
      <c r="M330" s="93">
        <f t="shared" ca="1" si="152"/>
        <v>85000</v>
      </c>
      <c r="N330" s="93">
        <f t="shared" ca="1" si="152"/>
        <v>40120</v>
      </c>
      <c r="O330" s="93">
        <f t="shared" ca="1" si="150"/>
        <v>23.6</v>
      </c>
      <c r="P330" s="93">
        <f t="shared" ca="1" si="151"/>
        <v>47.2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85000</v>
      </c>
      <c r="N331" s="497">
        <f t="shared" ca="1" si="153"/>
        <v>40120</v>
      </c>
      <c r="O331" s="497">
        <f t="shared" ca="1" si="150"/>
        <v>23.6</v>
      </c>
      <c r="P331" s="497">
        <f t="shared" ca="1" si="151"/>
        <v>47.2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IFERROR(__xludf.DUMMYFUNCTION("IMPORTRANGE(""https://docs.google.com/spreadsheets/d/1MeEWN-I1oV_STSDYn1IFDPWt_1FKiwhDph83XaGc0o0/edit?usp=sharing"",""งบพรบ!ER35"")"),85000)</f>
        <v>85000</v>
      </c>
      <c r="N333" s="93">
        <f ca="1">IFERROR(__xludf.DUMMYFUNCTION("IMPORTRANGE(""https://docs.google.com/spreadsheets/d/1MeEWN-I1oV_STSDYn1IFDPWt_1FKiwhDph83XaGc0o0/edit?usp=sharing"",""งบพรบ!ET35"")"),40120)</f>
        <v>40120</v>
      </c>
      <c r="O333" s="93">
        <f t="shared" ca="1" si="150"/>
        <v>23.6</v>
      </c>
      <c r="P333" s="93">
        <f t="shared" ca="1" si="151"/>
        <v>47.2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IFERROR(__xludf.DUMMYFUNCTION("IMPORTRANGE(""https://docs.google.com/spreadsheets/d/1kVcqe37tkHyjCSG3S0O1AXqVkqjo8mSIZil3BcpIysc/edit?usp=sharing"",""ศูนย์!D35"")"),677)</f>
        <v>677</v>
      </c>
      <c r="K338" s="497">
        <f ca="1">IF(I338&gt;0,J338*100/I338,0)</f>
        <v>52.07692307692308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IFERROR(__xludf.DUMMYFUNCTION("IMPORTRANGE(""https://docs.google.com/spreadsheets/d/1kVcqe37tkHyjCSG3S0O1AXqVkqjo8mSIZil3BcpIysc/edit?usp=sharing"",""ศูนย์!E35"")"),0)</f>
        <v>0</v>
      </c>
      <c r="K340" s="497">
        <f ca="1">IF(I340&gt;0,J340*100/I340,0)</f>
        <v>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IFERROR(__xludf.DUMMYFUNCTION("IMPORTRANGE(""https://docs.google.com/spreadsheets/d/1kVcqe37tkHyjCSG3S0O1AXqVkqjo8mSIZil3BcpIysc/edit?usp=sharing"",""ศูนย์!F35"")"),0)</f>
        <v>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535560</v>
      </c>
      <c r="N345" s="155">
        <f t="shared" ca="1" si="155"/>
        <v>312686.8</v>
      </c>
      <c r="O345" s="155">
        <f t="shared" ref="O345:O353" ca="1" si="156">IF(L345&gt;0,N345*100/L345,0)</f>
        <v>41.554719789493269</v>
      </c>
      <c r="P345" s="155">
        <f t="shared" ref="P345:P353" ca="1" si="157">IF(M345&gt;0,N345*100/M345,0)</f>
        <v>58.38501755172156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752470</v>
      </c>
      <c r="M347" s="93">
        <f t="shared" ca="1" si="158"/>
        <v>535560</v>
      </c>
      <c r="N347" s="93">
        <f t="shared" ca="1" si="158"/>
        <v>312686.8</v>
      </c>
      <c r="O347" s="93">
        <f t="shared" ca="1" si="156"/>
        <v>41.554719789493269</v>
      </c>
      <c r="P347" s="93">
        <f t="shared" ca="1" si="157"/>
        <v>58.38501755172156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404160</v>
      </c>
      <c r="N348" s="497">
        <f t="shared" ca="1" si="159"/>
        <v>181286.8</v>
      </c>
      <c r="O348" s="497">
        <f t="shared" ca="1" si="156"/>
        <v>29.388169306336831</v>
      </c>
      <c r="P348" s="497">
        <f t="shared" ca="1" si="157"/>
        <v>44.85520585906572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IFERROR(__xludf.DUMMYFUNCTION("IMPORTRANGE(""https://docs.google.com/spreadsheets/d/1MeEWN-I1oV_STSDYn1IFDPWt_1FKiwhDph83XaGc0o0/edit?usp=sharing"",""งบพรบ!FB35"")"),404160)</f>
        <v>404160</v>
      </c>
      <c r="N350" s="93">
        <f ca="1">IFERROR(__xludf.DUMMYFUNCTION("IMPORTRANGE(""https://docs.google.com/spreadsheets/d/1MeEWN-I1oV_STSDYn1IFDPWt_1FKiwhDph83XaGc0o0/edit?usp=sharing"",""งบพรบ!FD35"")"),181286.8)</f>
        <v>181286.8</v>
      </c>
      <c r="O350" s="93">
        <f t="shared" ca="1" si="156"/>
        <v>29.388169306336831</v>
      </c>
      <c r="P350" s="93">
        <f t="shared" ca="1" si="157"/>
        <v>44.85520585906572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141</v>
      </c>
      <c r="K355" s="465">
        <f ca="1">IF(I355&gt;0,J355*100/I355,0)</f>
        <v>61.304347826086953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IFERROR(__xludf.DUMMYFUNCTION("IMPORTRANGE(""https://docs.google.com/spreadsheets/d/1XWAQStnk-4SwqDmLtmXYiTMKHgktTP8We1SCoS47DrQ/edit?usp=sharing"",""จัดที่ดิน!W35"")"),137)</f>
        <v>137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IFERROR(__xludf.DUMMYFUNCTION("IMPORTRANGE(""https://docs.google.com/spreadsheets/d/1XWAQStnk-4SwqDmLtmXYiTMKHgktTP8We1SCoS47DrQ/edit?usp=sharing"",""จัดที่ดิน!X35"")"),1398.23)</f>
        <v>1398.23</v>
      </c>
      <c r="K359" s="497">
        <f t="shared" ca="1" si="161"/>
        <v>60.792608695652177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IFERROR(__xludf.DUMMYFUNCTION("IMPORTRANGE(""https://docs.google.com/spreadsheets/d/1XWAQStnk-4SwqDmLtmXYiTMKHgktTP8We1SCoS47DrQ/edit?usp=sharing"",""จัดที่ดิน!Y35"")"),141)</f>
        <v>141</v>
      </c>
      <c r="K360" s="497">
        <f t="shared" ca="1" si="161"/>
        <v>61.304347826086953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IFERROR(__xludf.DUMMYFUNCTION("IMPORTRANGE(""https://docs.google.com/spreadsheets/d/1XWAQStnk-4SwqDmLtmXYiTMKHgktTP8We1SCoS47DrQ/edit?usp=sharing"",""จัดที่ดิน!Z35"")"),1427.93)</f>
        <v>1427.93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IFERROR(__xludf.DUMMYFUNCTION("IMPORTRANGE(""https://docs.google.com/spreadsheets/d/1XWAQStnk-4SwqDmLtmXYiTMKHgktTP8We1SCoS47DrQ/edit?usp=sharing"",""จัดที่ดิน!AA35"")"),141)</f>
        <v>141</v>
      </c>
      <c r="K362" s="497">
        <f t="shared" ca="1" si="161"/>
        <v>61.304347826086953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IFERROR(__xludf.DUMMYFUNCTION("IMPORTRANGE(""https://docs.google.com/spreadsheets/d/1XWAQStnk-4SwqDmLtmXYiTMKHgktTP8We1SCoS47DrQ/edit?usp=sharing"",""จัดที่ดิน!AB35"")"),1427.93)</f>
        <v>1427.93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332</v>
      </c>
      <c r="K364" s="479">
        <f t="shared" ca="1" si="161"/>
        <v>77.20930232558139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37</v>
      </c>
      <c r="K365" s="491">
        <f t="shared" ca="1" si="161"/>
        <v>123.33333333333333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IFERROR(__xludf.DUMMYFUNCTION("IMPORTRANGE(""https://docs.google.com/spreadsheets/d/1XWAQStnk-4SwqDmLtmXYiTMKHgktTP8We1SCoS47DrQ/edit?usp=sharing"",""จัดที่ดิน!E35"")"),33)</f>
        <v>33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IFERROR(__xludf.DUMMYFUNCTION("IMPORTRANGE(""https://docs.google.com/spreadsheets/d/1XWAQStnk-4SwqDmLtmXYiTMKHgktTP8We1SCoS47DrQ/edit?usp=sharing"",""จัดที่ดิน!F35"")"),306.01)</f>
        <v>306.01</v>
      </c>
      <c r="K369" s="497">
        <f t="shared" ca="1" si="163"/>
        <v>102.00333333333333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IFERROR(__xludf.DUMMYFUNCTION("IMPORTRANGE(""https://docs.google.com/spreadsheets/d/1XWAQStnk-4SwqDmLtmXYiTMKHgktTP8We1SCoS47DrQ/edit?usp=sharing"",""จัดที่ดิน!G35"")"),37)</f>
        <v>37</v>
      </c>
      <c r="K370" s="497">
        <f t="shared" ca="1" si="163"/>
        <v>123.33333333333333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IFERROR(__xludf.DUMMYFUNCTION("IMPORTRANGE(""https://docs.google.com/spreadsheets/d/1XWAQStnk-4SwqDmLtmXYiTMKHgktTP8We1SCoS47DrQ/edit?usp=sharing"",""จัดที่ดิน!H35"")"),335.71)</f>
        <v>335.71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IFERROR(__xludf.DUMMYFUNCTION("IMPORTRANGE(""https://docs.google.com/spreadsheets/d/1XWAQStnk-4SwqDmLtmXYiTMKHgktTP8We1SCoS47DrQ/edit?usp=sharing"",""จัดที่ดิน!I35"")"),37)</f>
        <v>37</v>
      </c>
      <c r="K372" s="497">
        <f t="shared" ca="1" si="163"/>
        <v>123.33333333333333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IFERROR(__xludf.DUMMYFUNCTION("IMPORTRANGE(""https://docs.google.com/spreadsheets/d/1XWAQStnk-4SwqDmLtmXYiTMKHgktTP8We1SCoS47DrQ/edit?usp=sharing"",""จัดที่ดิน!J35"")"),335.71)</f>
        <v>335.71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295</v>
      </c>
      <c r="K374" s="491">
        <f t="shared" ca="1" si="163"/>
        <v>73.75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IFERROR(__xludf.DUMMYFUNCTION("IMPORTRANGE(""https://docs.google.com/spreadsheets/d/1XWAQStnk-4SwqDmLtmXYiTMKHgktTP8We1SCoS47DrQ/edit?usp=sharing"",""จัดที่ดิน!AH35"")"),104)</f>
        <v>104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IFERROR(__xludf.DUMMYFUNCTION("IMPORTRANGE(""https://docs.google.com/spreadsheets/d/1XWAQStnk-4SwqDmLtmXYiTMKHgktTP8We1SCoS47DrQ/edit?usp=sharing"",""จัดที่ดิน!AI35"")"),1092.22)</f>
        <v>1092.22</v>
      </c>
      <c r="K378" s="497">
        <f t="shared" ca="1" si="164"/>
        <v>54.610999999999997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IFERROR(__xludf.DUMMYFUNCTION("IMPORTRANGE(""https://docs.google.com/spreadsheets/d/1XWAQStnk-4SwqDmLtmXYiTMKHgktTP8We1SCoS47DrQ/edit?usp=sharing"",""จัดที่ดิน!AJ35"")"),295)</f>
        <v>295</v>
      </c>
      <c r="K379" s="497">
        <f t="shared" ca="1" si="164"/>
        <v>73.75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IFERROR(__xludf.DUMMYFUNCTION("IMPORTRANGE(""https://docs.google.com/spreadsheets/d/1XWAQStnk-4SwqDmLtmXYiTMKHgktTP8We1SCoS47DrQ/edit?usp=sharing"",""จัดที่ดิน!AK35"")"),3547.55)</f>
        <v>3547.55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IFERROR(__xludf.DUMMYFUNCTION("IMPORTRANGE(""https://docs.google.com/spreadsheets/d/1XWAQStnk-4SwqDmLtmXYiTMKHgktTP8We1SCoS47DrQ/edit?usp=sharing"",""จัดที่ดิน!AL35"")"),295)</f>
        <v>295</v>
      </c>
      <c r="K381" s="497">
        <f t="shared" ca="1" si="164"/>
        <v>73.75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IFERROR(__xludf.DUMMYFUNCTION("IMPORTRANGE(""https://docs.google.com/spreadsheets/d/1XWAQStnk-4SwqDmLtmXYiTMKHgktTP8We1SCoS47DrQ/edit?usp=sharing"",""จัดที่ดิน!AM35"")"),3518.15)</f>
        <v>3518.15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IFERROR(__xludf.DUMMYFUNCTION("IMPORTRANGE(""https://docs.google.com/spreadsheets/d/1QqKyyYR6Q21VydFLVH3TRQUabQu_ym0Zz7PgGX0-kHA/edit?usp=sharing"",""แผน!EW35"")"),30)</f>
        <v>30</v>
      </c>
      <c r="J385" s="500">
        <f ca="1">IFERROR(__xludf.DUMMYFUNCTION("IMPORTRANGE(""https://docs.google.com/spreadsheets/d/1XWAQStnk-4SwqDmLtmXYiTMKHgktTP8We1SCoS47DrQ/edit?usp=sharing"",""จัดที่ดิน!AP35"")"),1)</f>
        <v>1</v>
      </c>
      <c r="K385" s="501">
        <f ca="1">IF(I385&gt;0,J385*100/I385,0)</f>
        <v>3.3333333333333335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2041444</v>
      </c>
      <c r="M414" s="548">
        <f t="shared" si="181"/>
        <v>0</v>
      </c>
      <c r="N414" s="548">
        <f t="shared" si="181"/>
        <v>408534.65</v>
      </c>
      <c r="O414" s="548">
        <f ca="1">IF(L414&gt;0,N414*100/L414,0)</f>
        <v>20.012042946071507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20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si="184"/>
        <v>0</v>
      </c>
      <c r="N419" s="155">
        <f t="shared" si="184"/>
        <v>70965</v>
      </c>
      <c r="O419" s="155">
        <f t="shared" ref="O419:O424" ca="1" si="185">IF(L419&gt;0,N419*100/L419,0)</f>
        <v>68.196232942533157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104060</v>
      </c>
      <c r="M421" s="93">
        <f t="shared" si="187"/>
        <v>0</v>
      </c>
      <c r="N421" s="93">
        <f t="shared" si="187"/>
        <v>70965</v>
      </c>
      <c r="O421" s="93">
        <f t="shared" ca="1" si="185"/>
        <v>68.196232942533157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si="188"/>
        <v>0</v>
      </c>
      <c r="N422" s="497">
        <f t="shared" si="188"/>
        <v>70965</v>
      </c>
      <c r="O422" s="497">
        <f t="shared" ca="1" si="185"/>
        <v>68.196232942533157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v>0</v>
      </c>
      <c r="N424" s="93">
        <f>N425+N426+N427+N428</f>
        <v>70965</v>
      </c>
      <c r="O424" s="93">
        <f t="shared" ca="1" si="185"/>
        <v>68.196232942533157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34525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IFERROR(__xludf.DUMMYFUNCTION("IMPORTRANGE(""https://docs.google.com/spreadsheets/d/1QqKyyYR6Q21VydFLVH3TRQUabQu_ym0Zz7PgGX0-kHA/edit?usp=sharing"",""แผน!FC35"")"),20)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IFERROR(__xludf.DUMMYFUNCTION("IMPORTRANGE(""https://docs.google.com/spreadsheets/d/1QqKyyYR6Q21VydFLVH3TRQUabQu_ym0Zz7PgGX0-kHA/edit?usp=sharing"",""แผน!FD35"")"),0)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IFERROR(__xludf.DUMMYFUNCTION("IMPORTRANGE(""https://docs.google.com/spreadsheets/d/1QqKyyYR6Q21VydFLVH3TRQUabQu_ym0Zz7PgGX0-kHA/edit?usp=sharing"",""แผน!FF35"")"),20)</f>
        <v>20</v>
      </c>
      <c r="J439" s="578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40</v>
      </c>
      <c r="J442" s="584">
        <f t="shared" si="195"/>
        <v>40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80</v>
      </c>
      <c r="J443" s="564">
        <f t="shared" si="196"/>
        <v>80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si="197"/>
        <v>0</v>
      </c>
      <c r="N444" s="195">
        <f t="shared" si="197"/>
        <v>81210.649999999994</v>
      </c>
      <c r="O444" s="195">
        <f t="shared" ref="O444:O449" ca="1" si="198">IF(L444&gt;0,N444*100/L444,0)</f>
        <v>25.972447870026862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312680</v>
      </c>
      <c r="M446" s="93">
        <f t="shared" si="200"/>
        <v>0</v>
      </c>
      <c r="N446" s="93">
        <f t="shared" si="200"/>
        <v>81210.649999999994</v>
      </c>
      <c r="O446" s="93">
        <f t="shared" ca="1" si="198"/>
        <v>25.972447870026862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si="201"/>
        <v>0</v>
      </c>
      <c r="N447" s="497">
        <f t="shared" si="201"/>
        <v>81210.649999999994</v>
      </c>
      <c r="O447" s="497">
        <f t="shared" ca="1" si="198"/>
        <v>25.972447870026862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v>0</v>
      </c>
      <c r="N449" s="93">
        <f>N450+N451+N452+N453</f>
        <v>81210.649999999994</v>
      </c>
      <c r="O449" s="93">
        <f t="shared" ca="1" si="198"/>
        <v>25.972447870026862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18530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24100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38580.65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IFERROR(__xludf.DUMMYFUNCTION("IMPORTRANGE(""https://docs.google.com/spreadsheets/d/1QqKyyYR6Q21VydFLVH3TRQUabQu_ym0Zz7PgGX0-kHA/edit?usp=sharing"",""แผน!FX35"")"),131)</f>
        <v>131</v>
      </c>
      <c r="J465" s="584">
        <f>J485+J489+J492</f>
        <v>0</v>
      </c>
      <c r="K465" s="585">
        <f t="shared" ref="K465:K466" ca="1" si="205">IF(I465&gt;0,J465*100/I465,0)</f>
        <v>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IFERROR(__xludf.DUMMYFUNCTION("IMPORTRANGE(""https://docs.google.com/spreadsheets/d/1QqKyyYR6Q21VydFLVH3TRQUabQu_ym0Zz7PgGX0-kHA/edit?usp=sharing"",""แผน!FW35"")"),1300)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si="206"/>
        <v>0</v>
      </c>
      <c r="N467" s="195">
        <f t="shared" si="206"/>
        <v>178590</v>
      </c>
      <c r="O467" s="195">
        <f t="shared" ref="O467:O472" ca="1" si="207">IF(L467&gt;0,N467*100/L467,0)</f>
        <v>15.219899812339888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1173398</v>
      </c>
      <c r="M469" s="93">
        <f t="shared" si="209"/>
        <v>0</v>
      </c>
      <c r="N469" s="93">
        <f t="shared" si="209"/>
        <v>178590</v>
      </c>
      <c r="O469" s="93">
        <f t="shared" ca="1" si="207"/>
        <v>15.219899812339888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si="210"/>
        <v>0</v>
      </c>
      <c r="N470" s="497">
        <f t="shared" si="210"/>
        <v>178590</v>
      </c>
      <c r="O470" s="497">
        <f t="shared" ca="1" si="207"/>
        <v>15.219899812339888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v>0</v>
      </c>
      <c r="N472" s="93">
        <f>N473+N474+N475+N476</f>
        <v>178590</v>
      </c>
      <c r="O472" s="93">
        <f t="shared" ca="1" si="207"/>
        <v>15.219899812339888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114570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4000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39000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21020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/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/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IFERROR(__xludf.DUMMYFUNCTION("IMPORTRANGE(""https://docs.google.com/spreadsheets/d/1QqKyyYR6Q21VydFLVH3TRQUabQu_ym0Zz7PgGX0-kHA/edit?usp=sharing"",""แผน!GU35"")"),0)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71012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432306</v>
      </c>
      <c r="M544" s="155">
        <f t="shared" si="236"/>
        <v>0</v>
      </c>
      <c r="N544" s="155">
        <f t="shared" si="236"/>
        <v>71680</v>
      </c>
      <c r="O544" s="155">
        <f t="shared" ref="O544:O549" ca="1" si="237">IF(L544&gt;0,N544*100/L544,0)</f>
        <v>16.580847825382946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432306</v>
      </c>
      <c r="M546" s="93">
        <f t="shared" si="240"/>
        <v>0</v>
      </c>
      <c r="N546" s="93">
        <f t="shared" si="240"/>
        <v>71680</v>
      </c>
      <c r="O546" s="93">
        <f t="shared" ca="1" si="237"/>
        <v>16.580847825382946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432306</v>
      </c>
      <c r="M547" s="497">
        <f t="shared" si="241"/>
        <v>0</v>
      </c>
      <c r="N547" s="497">
        <f t="shared" si="241"/>
        <v>71680</v>
      </c>
      <c r="O547" s="497">
        <f t="shared" ca="1" si="237"/>
        <v>16.580847825382946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IFERROR(__xludf.DUMMYFUNCTION("IMPORTRANGE(""https://docs.google.com/spreadsheets/d/1QqKyyYR6Q21VydFLVH3TRQUabQu_ym0Zz7PgGX0-kHA/edit?usp=sharing"",""แผน!HB35"")"),432306)</f>
        <v>432306</v>
      </c>
      <c r="M549" s="93">
        <v>0</v>
      </c>
      <c r="N549" s="93">
        <f>N550+N551+N552+N553+N554</f>
        <v>71680</v>
      </c>
      <c r="O549" s="93">
        <f t="shared" ca="1" si="237"/>
        <v>16.580847825382946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32680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71012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0</v>
      </c>
      <c r="K560" s="411">
        <f t="shared" ca="1" si="246"/>
        <v>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0</v>
      </c>
      <c r="K561" s="411">
        <f t="shared" ca="1" si="246"/>
        <v>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0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0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0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0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3008.54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IFERROR(__xludf.DUMMYFUNCTION("IMPORTRANGE(""https://docs.google.com/spreadsheets/d/1QqKyyYR6Q21VydFLVH3TRQUabQu_ym0Zz7PgGX0-kHA/edit?usp=sharing"",""แผน!HL35"")"),0)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IFERROR(__xludf.DUMMYFUNCTION("IMPORTRANGE(""https://docs.google.com/spreadsheets/d/1QqKyyYR6Q21VydFLVH3TRQUabQu_ym0Zz7PgGX0-kHA/edit?usp=sharing"",""แผน!HK35"")"),0)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 hidden="1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 hidden="1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 hidden="1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 hidden="1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 hidden="1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 hidden="1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 hidden="1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 hidden="1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 hidden="1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 hidden="1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 hidden="1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 hidden="1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 hidden="1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 hidden="1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 hidden="1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 hidden="1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 hidden="1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 hidden="1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 hidden="1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IFERROR(__xludf.DUMMYFUNCTION("IMPORTRANGE(""https://docs.google.com/spreadsheets/d/1XWAQStnk-4SwqDmLtmXYiTMKHgktTP8We1SCoS47DrQ/edit?usp=sharing"",""จัดที่ดิน!AZ35"")"),0)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50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si="273"/>
        <v>0</v>
      </c>
      <c r="N655" s="195">
        <f t="shared" si="273"/>
        <v>5089</v>
      </c>
      <c r="O655" s="195">
        <f t="shared" ref="O655:O660" ca="1" si="274">IF(L655&gt;0,N655*100/L655,0)</f>
        <v>46.263636363636365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11000</v>
      </c>
      <c r="M657" s="93">
        <f t="shared" si="276"/>
        <v>0</v>
      </c>
      <c r="N657" s="93">
        <f t="shared" si="276"/>
        <v>5089</v>
      </c>
      <c r="O657" s="93">
        <f t="shared" ca="1" si="274"/>
        <v>46.263636363636365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si="277"/>
        <v>0</v>
      </c>
      <c r="N658" s="497">
        <f t="shared" si="277"/>
        <v>5089</v>
      </c>
      <c r="O658" s="497">
        <f t="shared" ca="1" si="274"/>
        <v>46.263636363636365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v>0</v>
      </c>
      <c r="N660" s="93">
        <f>N661+N662+N663+N664</f>
        <v>5089</v>
      </c>
      <c r="O660" s="93">
        <f t="shared" ca="1" si="274"/>
        <v>46.263636363636365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5089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IFERROR(__xludf.DUMMYFUNCTION("IMPORTRANGE(""https://docs.google.com/spreadsheets/d/1QqKyyYR6Q21VydFLVH3TRQUabQu_ym0Zz7PgGX0-kHA/edit?usp=sharing"",""แผน!IA35"")"),50)</f>
        <v>50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IFERROR(__xludf.DUMMYFUNCTION("IMPORTRANGE(""https://docs.google.com/spreadsheets/d/1QqKyyYR6Q21VydFLVH3TRQUabQu_ym0Zz7PgGX0-kHA/edit?usp=sharing"",""แผน!IB35"")"),0)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si="282"/>
        <v>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8000</v>
      </c>
      <c r="M687" s="93">
        <f t="shared" si="285"/>
        <v>0</v>
      </c>
      <c r="N687" s="93">
        <f t="shared" si="285"/>
        <v>1000</v>
      </c>
      <c r="O687" s="93">
        <f t="shared" ca="1" si="283"/>
        <v>12.5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si="286"/>
        <v>0</v>
      </c>
      <c r="N688" s="497">
        <f t="shared" si="286"/>
        <v>1000</v>
      </c>
      <c r="O688" s="497">
        <f t="shared" ca="1" si="283"/>
        <v>12.5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v>0</v>
      </c>
      <c r="N690" s="93">
        <f>N691+N692+N693+N694</f>
        <v>1000</v>
      </c>
      <c r="O690" s="93">
        <f ca="1">IF(L690&gt;0,N690*100/L690,0)</f>
        <v>12.5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1000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IFERROR(__xludf.DUMMYFUNCTION("IMPORTRANGE(""https://docs.google.com/spreadsheets/d/1QqKyyYR6Q21VydFLVH3TRQUabQu_ym0Zz7PgGX0-kHA/edit?usp=sharing"",""แผน!IE35"")"),0)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IFERROR(__xludf.DUMMYFUNCTION("IMPORTRANGE(""https://docs.google.com/spreadsheets/d/1QqKyyYR6Q21VydFLVH3TRQUabQu_ym0Zz7PgGX0-kHA/edit?usp=sharing"",""แผน!IH35"")"),0)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IFERROR(__xludf.DUMMYFUNCTION("IMPORTRANGE(""https://docs.google.com/spreadsheets/d/1QqKyyYR6Q21VydFLVH3TRQUabQu_ym0Zz7PgGX0-kHA/edit?usp=sharing"",""แผน!IJ35"")"),0)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IFERROR(__xludf.DUMMYFUNCTION("IMPORTRANGE(""https://docs.google.com/spreadsheets/d/1QqKyyYR6Q21VydFLVH3TRQUabQu_ym0Zz7PgGX0-kHA/edit?usp=sharing"",""แผน!IK35"")"),0)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IFERROR(__xludf.DUMMYFUNCTION("IMPORTRANGE(""https://docs.google.com/spreadsheets/d/1QqKyyYR6Q21VydFLVH3TRQUabQu_ym0Zz7PgGX0-kHA/edit?usp=sharing"",""แผน!IP35"")"),0)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/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/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IFERROR(__xludf.DUMMYFUNCTION("IMPORTRANGE(""https://docs.google.com/spreadsheets/d/19vJNZY_5yjcGF2XGBMNZRCAIB0Kwfpjp8YEOfu-bneM/edit?usp=sharing"",""งานกองทุน!F35"")"),810002.15)</f>
        <v>810002.15</v>
      </c>
      <c r="K821" s="497">
        <f t="shared" ref="K821:K828" ca="1" si="335">IF(I821&gt;0,J821*100/I821,0)</f>
        <v>33.558394108494028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IFERROR(__xludf.DUMMYFUNCTION("IMPORTRANGE(""https://docs.google.com/spreadsheets/d/19vJNZY_5yjcGF2XGBMNZRCAIB0Kwfpjp8YEOfu-bneM/edit?usp=sharing"",""งานกองทุน!E35"")"),80)</f>
        <v>80</v>
      </c>
      <c r="K822" s="497">
        <f t="shared" ca="1" si="335"/>
        <v>33.19502074688797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IFERROR(__xludf.DUMMYFUNCTION("IMPORTRANGE(""https://docs.google.com/spreadsheets/d/19vJNZY_5yjcGF2XGBMNZRCAIB0Kwfpjp8YEOfu-bneM/edit?usp=sharing"",""งานกองทุน!K35"")"),166773.25)</f>
        <v>166773.25</v>
      </c>
      <c r="K823" s="497">
        <f t="shared" ca="1" si="335"/>
        <v>6.1727385207372416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IFERROR(__xludf.DUMMYFUNCTION("IMPORTRANGE(""https://docs.google.com/spreadsheets/d/19vJNZY_5yjcGF2XGBMNZRCAIB0Kwfpjp8YEOfu-bneM/edit?usp=sharing"",""งานกองทุน!J35"")"),60)</f>
        <v>60</v>
      </c>
      <c r="K824" s="497">
        <f t="shared" ca="1" si="335"/>
        <v>48.780487804878049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IFERROR(__xludf.DUMMYFUNCTION("IMPORTRANGE(""https://docs.google.com/spreadsheets/d/19vJNZY_5yjcGF2XGBMNZRCAIB0Kwfpjp8YEOfu-bneM/edit?usp=sharing"",""งานกองทุน!N35"")"),253257.97)</f>
        <v>253257.97</v>
      </c>
      <c r="J825" s="270">
        <f ca="1">IFERROR(__xludf.DUMMYFUNCTION("IMPORTRANGE(""https://docs.google.com/spreadsheets/d/19vJNZY_5yjcGF2XGBMNZRCAIB0Kwfpjp8YEOfu-bneM/edit?usp=sharing"",""งานกองทุน!P35"")"),90710.92)</f>
        <v>90710.92</v>
      </c>
      <c r="K825" s="497">
        <f t="shared" ca="1" si="335"/>
        <v>35.817597369196321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IFERROR(__xludf.DUMMYFUNCTION("IMPORTRANGE(""https://docs.google.com/spreadsheets/d/19vJNZY_5yjcGF2XGBMNZRCAIB0Kwfpjp8YEOfu-bneM/edit?usp=sharing"",""งานกองทุน!M35"")"),19)</f>
        <v>19</v>
      </c>
      <c r="J826" s="270">
        <f ca="1">IFERROR(__xludf.DUMMYFUNCTION("IMPORTRANGE(""https://docs.google.com/spreadsheets/d/19vJNZY_5yjcGF2XGBMNZRCAIB0Kwfpjp8YEOfu-bneM/edit?usp=sharing"",""งานกองทุน!O35"")"),7)</f>
        <v>7</v>
      </c>
      <c r="K826" s="497">
        <f t="shared" ca="1" si="335"/>
        <v>36.842105263157897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IFERROR(__xludf.DUMMYFUNCTION("IMPORTRANGE(""https://docs.google.com/spreadsheets/d/19vJNZY_5yjcGF2XGBMNZRCAIB0Kwfpjp8YEOfu-bneM/edit?usp=sharing"",""งานกองทุน!U35"")"),0)</f>
        <v>0</v>
      </c>
      <c r="K827" s="497">
        <f t="shared" ca="1" si="335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IFERROR(__xludf.DUMMYFUNCTION("IMPORTRANGE(""https://docs.google.com/spreadsheets/d/19vJNZY_5yjcGF2XGBMNZRCAIB0Kwfpjp8YEOfu-bneM/edit?usp=sharing"",""งานกองทุน!R35"")"),80)</f>
        <v>80</v>
      </c>
      <c r="J828" s="500">
        <f ca="1">IFERROR(__xludf.DUMMYFUNCTION("IMPORTRANGE(""https://docs.google.com/spreadsheets/d/19vJNZY_5yjcGF2XGBMNZRCAIB0Kwfpjp8YEOfu-bneM/edit?usp=sharing"",""งานกองทุน!T35"")"),0)</f>
        <v>0</v>
      </c>
      <c r="K828" s="501">
        <f t="shared" ca="1" si="335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64C92-BE87-43D5-BA8D-B99A5FD229A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2" width="23" bestFit="1" customWidth="1"/>
    <col min="13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340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4667257</v>
      </c>
      <c r="N8" s="22">
        <f t="shared" ca="1" si="0"/>
        <v>4724149.99</v>
      </c>
      <c r="O8" s="22">
        <f t="shared" ref="O8:O16" ca="1" si="1">IF(L8&gt;0,N8*100/L8,0)</f>
        <v>39.258705408005831</v>
      </c>
      <c r="P8" s="22">
        <f t="shared" ref="P8:P16" ca="1" si="2">IF(M8&gt;0,N8*100/M8,0)</f>
        <v>101.2189812988657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4667257</v>
      </c>
      <c r="N10" s="30">
        <f t="shared" ca="1" si="3"/>
        <v>4724149.99</v>
      </c>
      <c r="O10" s="30">
        <f t="shared" ca="1" si="1"/>
        <v>39.258705408005831</v>
      </c>
      <c r="P10" s="30">
        <f t="shared" ca="1" si="2"/>
        <v>101.2189812988657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11622082</v>
      </c>
      <c r="M11" s="497">
        <f t="shared" ca="1" si="4"/>
        <v>4255957</v>
      </c>
      <c r="N11" s="497">
        <f t="shared" ca="1" si="4"/>
        <v>4312849.99</v>
      </c>
      <c r="O11" s="497">
        <f t="shared" ca="1" si="1"/>
        <v>37.109099643248086</v>
      </c>
      <c r="P11" s="497">
        <f t="shared" ca="1" si="2"/>
        <v>101.33678488762926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11622082</v>
      </c>
      <c r="M13" s="93">
        <f t="shared" ca="1" si="5"/>
        <v>4255957</v>
      </c>
      <c r="N13" s="93">
        <f t="shared" ca="1" si="5"/>
        <v>4312849.99</v>
      </c>
      <c r="O13" s="93">
        <f t="shared" ca="1" si="1"/>
        <v>37.109099643248086</v>
      </c>
      <c r="P13" s="93">
        <f t="shared" ca="1" si="2"/>
        <v>101.33678488762926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4667257</v>
      </c>
      <c r="N18" s="22">
        <f t="shared" ca="1" si="8"/>
        <v>2561504.6500000004</v>
      </c>
      <c r="O18" s="22">
        <f t="shared" ref="O18:O26" ca="1" si="9">IF(L18&gt;0,N18*100/L18,0)</f>
        <v>39.082525085091881</v>
      </c>
      <c r="P18" s="22">
        <f t="shared" ref="P18:P26" ca="1" si="10">IF(M18&gt;0,N18*100/M18,0)</f>
        <v>54.882442728137754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4667257</v>
      </c>
      <c r="N20" s="30">
        <f t="shared" ca="1" si="11"/>
        <v>2561504.6500000004</v>
      </c>
      <c r="O20" s="30">
        <f t="shared" ca="1" si="9"/>
        <v>39.082525085091881</v>
      </c>
      <c r="P20" s="30">
        <f t="shared" ca="1" si="10"/>
        <v>54.882442728137754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4255957</v>
      </c>
      <c r="N21" s="497">
        <f t="shared" ca="1" si="12"/>
        <v>2150204.6500000004</v>
      </c>
      <c r="O21" s="497">
        <f t="shared" ca="1" si="9"/>
        <v>35.003702713684596</v>
      </c>
      <c r="P21" s="497">
        <f t="shared" ca="1" si="10"/>
        <v>50.522236244398151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6142792</v>
      </c>
      <c r="M23" s="93">
        <f t="shared" ca="1" si="13"/>
        <v>4255957</v>
      </c>
      <c r="N23" s="93">
        <f t="shared" ca="1" si="13"/>
        <v>2150204.6500000004</v>
      </c>
      <c r="O23" s="93">
        <f t="shared" ca="1" si="9"/>
        <v>35.003702713684596</v>
      </c>
      <c r="P23" s="93">
        <f t="shared" ca="1" si="10"/>
        <v>50.522236244398151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si="16"/>
        <v>0</v>
      </c>
      <c r="N28" s="22">
        <f t="shared" si="16"/>
        <v>2162645.34</v>
      </c>
      <c r="O28" s="22">
        <f t="shared" ref="O28:O37" ca="1" si="17">IF(L28&gt;0,N28*100/L28,0)</f>
        <v>39.469444763828889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si="19"/>
        <v>0</v>
      </c>
      <c r="N30" s="30">
        <f t="shared" si="19"/>
        <v>2162645.34</v>
      </c>
      <c r="O30" s="30">
        <f t="shared" ca="1" si="17"/>
        <v>39.469444763828889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5479290</v>
      </c>
      <c r="M31" s="497">
        <f t="shared" si="20"/>
        <v>0</v>
      </c>
      <c r="N31" s="497">
        <f t="shared" si="20"/>
        <v>2162645.34</v>
      </c>
      <c r="O31" s="497">
        <f t="shared" ca="1" si="17"/>
        <v>39.469444763828889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5479290</v>
      </c>
      <c r="M33" s="93">
        <f t="shared" si="21"/>
        <v>0</v>
      </c>
      <c r="N33" s="93">
        <f t="shared" si="21"/>
        <v>2162645.34</v>
      </c>
      <c r="O33" s="93">
        <f t="shared" ca="1" si="17"/>
        <v>39.469444763828889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6554092</v>
      </c>
      <c r="M37" s="843">
        <f t="shared" ca="1" si="24"/>
        <v>4667257</v>
      </c>
      <c r="N37" s="843">
        <f t="shared" ca="1" si="24"/>
        <v>2561504.6500000004</v>
      </c>
      <c r="O37" s="843">
        <f t="shared" ca="1" si="17"/>
        <v>39.082525085091881</v>
      </c>
      <c r="P37" s="843">
        <f t="shared" ca="1" si="18"/>
        <v>54.882442728137754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725122</v>
      </c>
      <c r="N41" s="85">
        <f t="shared" ca="1" si="25"/>
        <v>298569</v>
      </c>
      <c r="O41" s="85">
        <f t="shared" ref="O41:O49" ca="1" si="26">IF(L41&gt;0,N41*100/L41,0)</f>
        <v>42.034684327009174</v>
      </c>
      <c r="P41" s="85">
        <f t="shared" ref="P41:P49" ca="1" si="27">IF(M41&gt;0,N41*100/M41,0)</f>
        <v>41.175002275479159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725122</v>
      </c>
      <c r="N43" s="92">
        <f t="shared" ca="1" si="28"/>
        <v>298569</v>
      </c>
      <c r="O43" s="92">
        <f t="shared" ca="1" si="26"/>
        <v>42.034684327009174</v>
      </c>
      <c r="P43" s="92">
        <f t="shared" ca="1" si="27"/>
        <v>41.175002275479159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725122</v>
      </c>
      <c r="N44" s="497">
        <f t="shared" ca="1" si="29"/>
        <v>298569</v>
      </c>
      <c r="O44" s="497">
        <f t="shared" ca="1" si="26"/>
        <v>42.034684327009174</v>
      </c>
      <c r="P44" s="497">
        <f t="shared" ca="1" si="27"/>
        <v>41.175002275479159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IFERROR(__xludf.DUMMYFUNCTION("IMPORTRANGE(""https://docs.google.com/spreadsheets/d/1MeEWN-I1oV_STSDYn1IFDPWt_1FKiwhDph83XaGc0o0/edit?usp=sharing"",""งบพรบ!R36"")"),725122)</f>
        <v>725122</v>
      </c>
      <c r="N46" s="93">
        <f ca="1">IFERROR(__xludf.DUMMYFUNCTION("IMPORTRANGE(""https://docs.google.com/spreadsheets/d/1MeEWN-I1oV_STSDYn1IFDPWt_1FKiwhDph83XaGc0o0/edit?usp=sharing"",""งบพรบ!T36"")"),298569)</f>
        <v>298569</v>
      </c>
      <c r="O46" s="93">
        <f t="shared" ca="1" si="26"/>
        <v>42.034684327009174</v>
      </c>
      <c r="P46" s="93">
        <f t="shared" ca="1" si="27"/>
        <v>41.175002275479159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857375</v>
      </c>
      <c r="N53" s="116">
        <f t="shared" ca="1" si="31"/>
        <v>551561.59000000008</v>
      </c>
      <c r="O53" s="116">
        <f t="shared" ref="O53:O61" ca="1" si="32">IF(L53&gt;0,N53*100/L53,0)</f>
        <v>48.672925344158145</v>
      </c>
      <c r="P53" s="116">
        <f t="shared" ref="P53:P61" ca="1" si="33">IF(M53&gt;0,N53*100/M53,0)</f>
        <v>64.331429071293201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857375</v>
      </c>
      <c r="N55" s="123">
        <f t="shared" ca="1" si="34"/>
        <v>551561.59000000008</v>
      </c>
      <c r="O55" s="123">
        <f t="shared" ca="1" si="32"/>
        <v>48.672925344158145</v>
      </c>
      <c r="P55" s="123">
        <f t="shared" ca="1" si="33"/>
        <v>64.331429071293201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827475</v>
      </c>
      <c r="N56" s="497">
        <f t="shared" ca="1" si="35"/>
        <v>521661.59</v>
      </c>
      <c r="O56" s="497">
        <f t="shared" ca="1" si="32"/>
        <v>47.281935103779567</v>
      </c>
      <c r="P56" s="497">
        <f t="shared" ca="1" si="33"/>
        <v>63.042580138372763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IFERROR(__xludf.DUMMYFUNCTION("IMPORTRANGE(""https://docs.google.com/spreadsheets/d/1MeEWN-I1oV_STSDYn1IFDPWt_1FKiwhDph83XaGc0o0/edit?usp=sharing"",""งบพรบ!AB36"")"),827475)</f>
        <v>827475</v>
      </c>
      <c r="N58" s="93">
        <f ca="1">IFERROR(__xludf.DUMMYFUNCTION("IMPORTRANGE(""https://docs.google.com/spreadsheets/d/1MeEWN-I1oV_STSDYn1IFDPWt_1FKiwhDph83XaGc0o0/edit?usp=sharing"",""งบพรบ!AD36"")"),521661.59)</f>
        <v>521661.59</v>
      </c>
      <c r="O58" s="93">
        <f t="shared" ca="1" si="32"/>
        <v>47.281935103779567</v>
      </c>
      <c r="P58" s="93">
        <f t="shared" ca="1" si="33"/>
        <v>63.042580138372763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56400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95.035460992907801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63900</v>
      </c>
      <c r="M90" s="93">
        <f t="shared" ca="1" si="52"/>
        <v>56400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95.035460992907801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56400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95.035460992907801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IFERROR(__xludf.DUMMYFUNCTION("IMPORTRANGE(""https://docs.google.com/spreadsheets/d/1MeEWN-I1oV_STSDYn1IFDPWt_1FKiwhDph83XaGc0o0/edit?usp=sharing"",""งบพรบ!AV36"")"),56400)</f>
        <v>56400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95.035460992907801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267200</v>
      </c>
      <c r="N132" s="155">
        <f t="shared" ca="1" si="69"/>
        <v>264175</v>
      </c>
      <c r="O132" s="155">
        <f t="shared" ref="O132:O140" ca="1" si="70">IF(L132&gt;0,N132*100/L132,0)</f>
        <v>87.097359137516079</v>
      </c>
      <c r="P132" s="155">
        <f t="shared" ref="P132:P140" ca="1" si="71">IF(M132&gt;0,N132*100/M132,0)</f>
        <v>98.867889221556879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303310</v>
      </c>
      <c r="M134" s="93">
        <f t="shared" ca="1" si="72"/>
        <v>267200</v>
      </c>
      <c r="N134" s="93">
        <f t="shared" ca="1" si="72"/>
        <v>264175</v>
      </c>
      <c r="O134" s="93">
        <f t="shared" ca="1" si="70"/>
        <v>87.097359137516079</v>
      </c>
      <c r="P134" s="93">
        <f t="shared" ca="1" si="71"/>
        <v>98.867889221556879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61200</v>
      </c>
      <c r="N135" s="497">
        <f t="shared" ca="1" si="73"/>
        <v>58175</v>
      </c>
      <c r="O135" s="497">
        <f t="shared" ca="1" si="70"/>
        <v>59.783167197615867</v>
      </c>
      <c r="P135" s="497">
        <f t="shared" ca="1" si="71"/>
        <v>95.057189542483655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IFERROR(__xludf.DUMMYFUNCTION("IMPORTRANGE(""https://docs.google.com/spreadsheets/d/1MeEWN-I1oV_STSDYn1IFDPWt_1FKiwhDph83XaGc0o0/edit?usp=sharing"",""งบพรบ!BP36"")"),61200)</f>
        <v>61200</v>
      </c>
      <c r="N137" s="93">
        <f ca="1">IFERROR(__xludf.DUMMYFUNCTION("IMPORTRANGE(""https://docs.google.com/spreadsheets/d/1MeEWN-I1oV_STSDYn1IFDPWt_1FKiwhDph83XaGc0o0/edit?usp=sharing"",""งบพรบ!BR36"")"),58175)</f>
        <v>58175</v>
      </c>
      <c r="O137" s="93">
        <f t="shared" ca="1" si="70"/>
        <v>59.783167197615867</v>
      </c>
      <c r="P137" s="93">
        <f t="shared" ca="1" si="71"/>
        <v>95.057189542483655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4780</v>
      </c>
      <c r="O149" s="155">
        <f t="shared" ref="O149:O157" ca="1" si="78">IF(L149&gt;0,N149*100/L149,0)</f>
        <v>47.8</v>
      </c>
      <c r="P149" s="155">
        <f t="shared" ref="P149:P157" ca="1" si="79">IF(M149&gt;0,N149*100/M149,0)</f>
        <v>47.8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4780</v>
      </c>
      <c r="O151" s="93">
        <f t="shared" ca="1" si="78"/>
        <v>47.8</v>
      </c>
      <c r="P151" s="93">
        <f t="shared" ca="1" si="79"/>
        <v>47.8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4780</v>
      </c>
      <c r="O152" s="497">
        <f t="shared" ca="1" si="78"/>
        <v>47.8</v>
      </c>
      <c r="P152" s="497">
        <f t="shared" ca="1" si="79"/>
        <v>47.8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IFERROR(__xludf.DUMMYFUNCTION("IMPORTRANGE(""https://docs.google.com/spreadsheets/d/1MeEWN-I1oV_STSDYn1IFDPWt_1FKiwhDph83XaGc0o0/edit?usp=sharing"",""งบพรบ!CB36"")"),4780)</f>
        <v>4780</v>
      </c>
      <c r="O154" s="93">
        <f t="shared" ca="1" si="78"/>
        <v>47.8</v>
      </c>
      <c r="P154" s="93">
        <f t="shared" ca="1" si="79"/>
        <v>47.8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IFERROR(__xludf.DUMMYFUNCTION("IMPORTRANGE(""https://docs.google.com/spreadsheets/d/1MeEWN-I1oV_STSDYn1IFDPWt_1FKiwhDph83XaGc0o0/edit?usp=sharing"",""งบพรบ!CJ36"")"),21050)</f>
        <v>21050</v>
      </c>
      <c r="N170" s="93">
        <f ca="1">IFERROR(__xludf.DUMMYFUNCTION("IMPORTRANGE(""https://docs.google.com/spreadsheets/d/1MeEWN-I1oV_STSDYn1IFDPWt_1FKiwhDph83XaGc0o0/edit?usp=sharing"",""งบพรบ!CL36"")"),21050)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434000</v>
      </c>
      <c r="N181" s="155">
        <f t="shared" ca="1" si="92"/>
        <v>175668.1</v>
      </c>
      <c r="O181" s="155">
        <f t="shared" ref="O181:O189" ca="1" si="93">IF(L181&gt;0,N181*100/L181,0)</f>
        <v>30.105929734361609</v>
      </c>
      <c r="P181" s="155">
        <f t="shared" ref="P181:P189" ca="1" si="94">IF(M181&gt;0,N181*100/M181,0)</f>
        <v>40.476520737327192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583500</v>
      </c>
      <c r="M183" s="93">
        <f t="shared" ca="1" si="95"/>
        <v>434000</v>
      </c>
      <c r="N183" s="93">
        <f t="shared" ca="1" si="95"/>
        <v>175668.1</v>
      </c>
      <c r="O183" s="93">
        <f t="shared" ca="1" si="93"/>
        <v>30.105929734361609</v>
      </c>
      <c r="P183" s="93">
        <f t="shared" ca="1" si="94"/>
        <v>40.476520737327192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434000</v>
      </c>
      <c r="N184" s="497">
        <f t="shared" ca="1" si="96"/>
        <v>175668.1</v>
      </c>
      <c r="O184" s="497">
        <f t="shared" ca="1" si="93"/>
        <v>30.105929734361609</v>
      </c>
      <c r="P184" s="497">
        <f t="shared" ca="1" si="94"/>
        <v>40.476520737327192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IFERROR(__xludf.DUMMYFUNCTION("IMPORTRANGE(""https://docs.google.com/spreadsheets/d/1MeEWN-I1oV_STSDYn1IFDPWt_1FKiwhDph83XaGc0o0/edit?usp=sharing"",""งบพรบ!CT36"")"),434000)</f>
        <v>434000</v>
      </c>
      <c r="N186" s="93">
        <f ca="1">IFERROR(__xludf.DUMMYFUNCTION("IMPORTRANGE(""https://docs.google.com/spreadsheets/d/1MeEWN-I1oV_STSDYn1IFDPWt_1FKiwhDph83XaGc0o0/edit?usp=sharing"",""งบพรบ!CV36"")"),175668.1)</f>
        <v>175668.1</v>
      </c>
      <c r="O186" s="93">
        <f t="shared" ca="1" si="93"/>
        <v>30.105929734361609</v>
      </c>
      <c r="P186" s="93">
        <f t="shared" ca="1" si="94"/>
        <v>40.476520737327192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132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132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1</v>
      </c>
      <c r="K197" s="273">
        <f ca="1">IF(I197&gt;0,J197*100/I197,0)</f>
        <v>50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1780</v>
      </c>
      <c r="O198" s="155">
        <f ca="1">IF(L198&gt;0,N198*100/L198,0)</f>
        <v>6.8461538461538458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4">
        <v>1780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1</v>
      </c>
      <c r="K204" s="163">
        <f ca="1">IF(I204&gt;0,J204*100/I204,0)</f>
        <v>50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2</v>
      </c>
      <c r="J206" s="215">
        <v>1</v>
      </c>
      <c r="K206" s="163">
        <f t="shared" ref="K206:K208" si="100">IF(I206&gt;0,J206*100/I206,0)</f>
        <v>50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10595</v>
      </c>
      <c r="O217" s="155">
        <f ca="1">IF(L217&gt;0,N217*100/L217,0)</f>
        <v>31.626865671641792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4">
        <v>10595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25800</v>
      </c>
      <c r="N261" s="155">
        <f t="shared" ca="1" si="116"/>
        <v>24520</v>
      </c>
      <c r="O261" s="155">
        <f t="shared" ref="O261:O269" ca="1" si="117">IF(L261&gt;0,N261*100/L261,0)</f>
        <v>85.138888888888886</v>
      </c>
      <c r="P261" s="155">
        <f t="shared" ref="P261:P269" ca="1" si="118">IF(M261&gt;0,N261*100/M261,0)</f>
        <v>95.038759689922486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28800</v>
      </c>
      <c r="M263" s="93">
        <f t="shared" ca="1" si="119"/>
        <v>25800</v>
      </c>
      <c r="N263" s="93">
        <f t="shared" ca="1" si="119"/>
        <v>24520</v>
      </c>
      <c r="O263" s="93">
        <f t="shared" ca="1" si="117"/>
        <v>85.138888888888886</v>
      </c>
      <c r="P263" s="93">
        <f t="shared" ca="1" si="118"/>
        <v>95.038759689922486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25800</v>
      </c>
      <c r="N264" s="497">
        <f t="shared" ca="1" si="120"/>
        <v>24520</v>
      </c>
      <c r="O264" s="497">
        <f t="shared" ca="1" si="117"/>
        <v>85.138888888888886</v>
      </c>
      <c r="P264" s="497">
        <f t="shared" ca="1" si="118"/>
        <v>95.038759689922486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IFERROR(__xludf.DUMMYFUNCTION("IMPORTRANGE(""https://docs.google.com/spreadsheets/d/1MeEWN-I1oV_STSDYn1IFDPWt_1FKiwhDph83XaGc0o0/edit?usp=sharing"",""งบพรบ!DD36"")"),25800)</f>
        <v>25800</v>
      </c>
      <c r="N266" s="93">
        <f ca="1">IFERROR(__xludf.DUMMYFUNCTION("IMPORTRANGE(""https://docs.google.com/spreadsheets/d/1MeEWN-I1oV_STSDYn1IFDPWt_1FKiwhDph83XaGc0o0/edit?usp=sharing"",""งบพรบ!DF36"")"),24520)</f>
        <v>24520</v>
      </c>
      <c r="O266" s="93">
        <f t="shared" ca="1" si="117"/>
        <v>85.138888888888886</v>
      </c>
      <c r="P266" s="93">
        <f t="shared" ca="1" si="118"/>
        <v>95.038759689922486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70790</v>
      </c>
      <c r="N277" s="155">
        <f t="shared" ca="1" si="125"/>
        <v>57120</v>
      </c>
      <c r="O277" s="155">
        <f t="shared" ref="O277:O285" ca="1" si="126">IF(L277&gt;0,N277*100/L277,0)</f>
        <v>38.849214446031425</v>
      </c>
      <c r="P277" s="155">
        <f t="shared" ref="P277:P285" ca="1" si="127">IF(M277&gt;0,N277*100/M277,0)</f>
        <v>80.689362904365026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147030</v>
      </c>
      <c r="M279" s="93">
        <f t="shared" ca="1" si="128"/>
        <v>70790</v>
      </c>
      <c r="N279" s="93">
        <f t="shared" ca="1" si="128"/>
        <v>57120</v>
      </c>
      <c r="O279" s="93">
        <f t="shared" ca="1" si="126"/>
        <v>38.849214446031425</v>
      </c>
      <c r="P279" s="93">
        <f t="shared" ca="1" si="127"/>
        <v>80.689362904365026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70790</v>
      </c>
      <c r="N280" s="497">
        <f t="shared" ca="1" si="129"/>
        <v>57120</v>
      </c>
      <c r="O280" s="497">
        <f t="shared" ca="1" si="126"/>
        <v>38.849214446031425</v>
      </c>
      <c r="P280" s="497">
        <f t="shared" ca="1" si="127"/>
        <v>80.689362904365026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IFERROR(__xludf.DUMMYFUNCTION("IMPORTRANGE(""https://docs.google.com/spreadsheets/d/1MeEWN-I1oV_STSDYn1IFDPWt_1FKiwhDph83XaGc0o0/edit?usp=sharing"",""งบพรบ!DN36"")"),70790)</f>
        <v>70790</v>
      </c>
      <c r="N282" s="93">
        <f ca="1">IFERROR(__xludf.DUMMYFUNCTION("IMPORTRANGE(""https://docs.google.com/spreadsheets/d/1MeEWN-I1oV_STSDYn1IFDPWt_1FKiwhDph83XaGc0o0/edit?usp=sharing"",""งบพรบ!DP36"")"),57120)</f>
        <v>57120</v>
      </c>
      <c r="O282" s="93">
        <f t="shared" ca="1" si="126"/>
        <v>38.849214446031425</v>
      </c>
      <c r="P282" s="93">
        <f t="shared" ca="1" si="127"/>
        <v>80.689362904365026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IFERROR(__xludf.DUMMYFUNCTION("IMPORTRANGE(""https://docs.google.com/spreadsheets/d/1QqKyyYR6Q21VydFLVH3TRQUabQu_ym0Zz7PgGX0-kHA/edit?usp=sharing"",""แผน!EB36"")"),40)</f>
        <v>40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60400</v>
      </c>
      <c r="N298" s="155">
        <f t="shared" ca="1" si="135"/>
        <v>54860</v>
      </c>
      <c r="O298" s="155">
        <f t="shared" ref="O298:O306" ca="1" si="136">IF(L298&gt;0,N298*100/L298,0)</f>
        <v>54.316831683168317</v>
      </c>
      <c r="P298" s="155">
        <f t="shared" ref="P298:P306" ca="1" si="137">IF(M298&gt;0,N298*100/M298,0)</f>
        <v>90.827814569536429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101000</v>
      </c>
      <c r="M300" s="93">
        <f t="shared" ca="1" si="138"/>
        <v>60400</v>
      </c>
      <c r="N300" s="93">
        <f t="shared" ca="1" si="138"/>
        <v>54860</v>
      </c>
      <c r="O300" s="93">
        <f t="shared" ca="1" si="136"/>
        <v>54.316831683168317</v>
      </c>
      <c r="P300" s="93">
        <f t="shared" ca="1" si="137"/>
        <v>90.827814569536429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60400</v>
      </c>
      <c r="N301" s="497">
        <f t="shared" ca="1" si="139"/>
        <v>54860</v>
      </c>
      <c r="O301" s="497">
        <f t="shared" ca="1" si="136"/>
        <v>54.316831683168317</v>
      </c>
      <c r="P301" s="497">
        <f t="shared" ca="1" si="137"/>
        <v>90.827814569536429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IFERROR(__xludf.DUMMYFUNCTION("IMPORTRANGE(""https://docs.google.com/spreadsheets/d/1MeEWN-I1oV_STSDYn1IFDPWt_1FKiwhDph83XaGc0o0/edit?usp=sharing"",""งบพรบ!DX36"")"),60400)</f>
        <v>60400</v>
      </c>
      <c r="N303" s="93">
        <f ca="1">IFERROR(__xludf.DUMMYFUNCTION("IMPORTRANGE(""https://docs.google.com/spreadsheets/d/1MeEWN-I1oV_STSDYn1IFDPWt_1FKiwhDph83XaGc0o0/edit?usp=sharing"",""งบพรบ!DZ36"")"),54860)</f>
        <v>54860</v>
      </c>
      <c r="O303" s="93">
        <f t="shared" ca="1" si="136"/>
        <v>54.316831683168317</v>
      </c>
      <c r="P303" s="93">
        <f t="shared" ca="1" si="137"/>
        <v>90.827814569536429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/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322500</v>
      </c>
      <c r="N315" s="155">
        <f t="shared" ca="1" si="143"/>
        <v>144739.81</v>
      </c>
      <c r="O315" s="155">
        <f t="shared" ref="O315:O323" ca="1" si="144">IF(L315&gt;0,N315*100/L315,0)</f>
        <v>32.970343963553532</v>
      </c>
      <c r="P315" s="155">
        <f t="shared" ref="P315:P323" ca="1" si="145">IF(M315&gt;0,N315*100/M315,0)</f>
        <v>44.88056124031008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439000</v>
      </c>
      <c r="M317" s="93">
        <f t="shared" ca="1" si="146"/>
        <v>322500</v>
      </c>
      <c r="N317" s="93">
        <f t="shared" ca="1" si="146"/>
        <v>144739.81</v>
      </c>
      <c r="O317" s="93">
        <f t="shared" ca="1" si="144"/>
        <v>32.970343963553532</v>
      </c>
      <c r="P317" s="93">
        <f t="shared" ca="1" si="145"/>
        <v>44.88056124031008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322500</v>
      </c>
      <c r="N318" s="497">
        <f t="shared" ca="1" si="147"/>
        <v>144739.81</v>
      </c>
      <c r="O318" s="497">
        <f t="shared" ca="1" si="144"/>
        <v>32.970343963553532</v>
      </c>
      <c r="P318" s="497">
        <f t="shared" ca="1" si="145"/>
        <v>44.88056124031008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IFERROR(__xludf.DUMMYFUNCTION("IMPORTRANGE(""https://docs.google.com/spreadsheets/d/1MeEWN-I1oV_STSDYn1IFDPWt_1FKiwhDph83XaGc0o0/edit?usp=sharing"",""งบพรบ!EH36"")"),322500)</f>
        <v>322500</v>
      </c>
      <c r="N320" s="93">
        <f ca="1">IFERROR(__xludf.DUMMYFUNCTION("IMPORTRANGE(""https://docs.google.com/spreadsheets/d/1MeEWN-I1oV_STSDYn1IFDPWt_1FKiwhDph83XaGc0o0/edit?usp=sharing"",""งบพรบ!EJ36"")"),144739.81)</f>
        <v>144739.81</v>
      </c>
      <c r="O320" s="93">
        <f t="shared" ca="1" si="144"/>
        <v>32.970343963553532</v>
      </c>
      <c r="P320" s="93">
        <f t="shared" ca="1" si="145"/>
        <v>44.88056124031008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3854</v>
      </c>
      <c r="K327" s="445">
        <f ca="1">IF(I327&gt;0,J327*100/I327,0)</f>
        <v>44.709976798143849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99000</v>
      </c>
      <c r="N328" s="155">
        <f t="shared" ca="1" si="149"/>
        <v>55912.67</v>
      </c>
      <c r="O328" s="155">
        <f t="shared" ref="O328:O336" ca="1" si="150">IF(L328&gt;0,N328*100/L328,0)</f>
        <v>28.238722222222222</v>
      </c>
      <c r="P328" s="155">
        <f t="shared" ref="P328:P336" ca="1" si="151">IF(M328&gt;0,N328*100/M328,0)</f>
        <v>56.477444444444444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198000</v>
      </c>
      <c r="M330" s="93">
        <f t="shared" ca="1" si="152"/>
        <v>99000</v>
      </c>
      <c r="N330" s="93">
        <f t="shared" ca="1" si="152"/>
        <v>55912.67</v>
      </c>
      <c r="O330" s="93">
        <f t="shared" ca="1" si="150"/>
        <v>28.238722222222222</v>
      </c>
      <c r="P330" s="93">
        <f t="shared" ca="1" si="151"/>
        <v>56.477444444444444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99000</v>
      </c>
      <c r="N331" s="497">
        <f t="shared" ca="1" si="153"/>
        <v>55912.67</v>
      </c>
      <c r="O331" s="497">
        <f t="shared" ca="1" si="150"/>
        <v>28.238722222222222</v>
      </c>
      <c r="P331" s="497">
        <f t="shared" ca="1" si="151"/>
        <v>56.477444444444444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IFERROR(__xludf.DUMMYFUNCTION("IMPORTRANGE(""https://docs.google.com/spreadsheets/d/1MeEWN-I1oV_STSDYn1IFDPWt_1FKiwhDph83XaGc0o0/edit?usp=sharing"",""งบพรบ!ER36"")"),99000)</f>
        <v>99000</v>
      </c>
      <c r="N333" s="93">
        <f ca="1">IFERROR(__xludf.DUMMYFUNCTION("IMPORTRANGE(""https://docs.google.com/spreadsheets/d/1MeEWN-I1oV_STSDYn1IFDPWt_1FKiwhDph83XaGc0o0/edit?usp=sharing"",""งบพรบ!ET36"")"),55912.67)</f>
        <v>55912.67</v>
      </c>
      <c r="O333" s="93">
        <f t="shared" ca="1" si="150"/>
        <v>28.238722222222222</v>
      </c>
      <c r="P333" s="93">
        <f t="shared" ca="1" si="151"/>
        <v>56.477444444444444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IFERROR(__xludf.DUMMYFUNCTION("IMPORTRANGE(""https://docs.google.com/spreadsheets/d/1kVcqe37tkHyjCSG3S0O1AXqVkqjo8mSIZil3BcpIysc/edit?usp=sharing"",""ศูนย์!D36"")"),3279)</f>
        <v>3279</v>
      </c>
      <c r="K338" s="497">
        <f ca="1">IF(I338&gt;0,J338*100/I338,0)</f>
        <v>38.039443155452439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IFERROR(__xludf.DUMMYFUNCTION("IMPORTRANGE(""https://docs.google.com/spreadsheets/d/1kVcqe37tkHyjCSG3S0O1AXqVkqjo8mSIZil3BcpIysc/edit?usp=sharing"",""ศูนย์!E36"")"),6)</f>
        <v>6</v>
      </c>
      <c r="K340" s="497">
        <f ca="1">IF(I340&gt;0,J340*100/I340,0)</f>
        <v>40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IFERROR(__xludf.DUMMYFUNCTION("IMPORTRANGE(""https://docs.google.com/spreadsheets/d/1kVcqe37tkHyjCSG3S0O1AXqVkqjo8mSIZil3BcpIysc/edit?usp=sharing"",""ศูนย์!F36"")"),569)</f>
        <v>569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1700620</v>
      </c>
      <c r="N345" s="155">
        <f t="shared" ca="1" si="155"/>
        <v>837948.48</v>
      </c>
      <c r="O345" s="155">
        <f t="shared" ref="O345:O353" ca="1" si="156">IF(L345&gt;0,N345*100/L345,0)</f>
        <v>29.948015911308396</v>
      </c>
      <c r="P345" s="155">
        <f t="shared" ref="P345:P353" ca="1" si="157">IF(M345&gt;0,N345*100/M345,0)</f>
        <v>49.273116863261635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2798010</v>
      </c>
      <c r="M347" s="93">
        <f t="shared" ca="1" si="158"/>
        <v>1700620</v>
      </c>
      <c r="N347" s="93">
        <f t="shared" ca="1" si="158"/>
        <v>837948.48</v>
      </c>
      <c r="O347" s="93">
        <f t="shared" ca="1" si="156"/>
        <v>29.948015911308396</v>
      </c>
      <c r="P347" s="93">
        <f t="shared" ca="1" si="157"/>
        <v>49.273116863261635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1542220</v>
      </c>
      <c r="N348" s="497">
        <f t="shared" ca="1" si="159"/>
        <v>679548.48</v>
      </c>
      <c r="O348" s="497">
        <f t="shared" ca="1" si="156"/>
        <v>25.744275858933705</v>
      </c>
      <c r="P348" s="497">
        <f t="shared" ca="1" si="157"/>
        <v>44.063005278105585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IFERROR(__xludf.DUMMYFUNCTION("IMPORTRANGE(""https://docs.google.com/spreadsheets/d/1MeEWN-I1oV_STSDYn1IFDPWt_1FKiwhDph83XaGc0o0/edit?usp=sharing"",""งบพรบ!FB36"")"),1542220)</f>
        <v>1542220</v>
      </c>
      <c r="N350" s="93">
        <f ca="1">IFERROR(__xludf.DUMMYFUNCTION("IMPORTRANGE(""https://docs.google.com/spreadsheets/d/1MeEWN-I1oV_STSDYn1IFDPWt_1FKiwhDph83XaGc0o0/edit?usp=sharing"",""งบพรบ!FD36"")"),679548.48)</f>
        <v>679548.48</v>
      </c>
      <c r="O350" s="93">
        <f t="shared" ca="1" si="156"/>
        <v>25.744275858933705</v>
      </c>
      <c r="P350" s="93">
        <f t="shared" ca="1" si="157"/>
        <v>44.063005278105585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34</v>
      </c>
      <c r="K355" s="465">
        <f ca="1">IF(I355&gt;0,J355*100/I355,0)</f>
        <v>1.7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IFERROR(__xludf.DUMMYFUNCTION("IMPORTRANGE(""https://docs.google.com/spreadsheets/d/1XWAQStnk-4SwqDmLtmXYiTMKHgktTP8We1SCoS47DrQ/edit?usp=sharing"",""จัดที่ดิน!W36"")"),316)</f>
        <v>316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IFERROR(__xludf.DUMMYFUNCTION("IMPORTRANGE(""https://docs.google.com/spreadsheets/d/1XWAQStnk-4SwqDmLtmXYiTMKHgktTP8We1SCoS47DrQ/edit?usp=sharing"",""จัดที่ดิน!X36"")"),3485.02)</f>
        <v>3485.02</v>
      </c>
      <c r="K359" s="497">
        <f t="shared" ca="1" si="161"/>
        <v>17.4251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IFERROR(__xludf.DUMMYFUNCTION("IMPORTRANGE(""https://docs.google.com/spreadsheets/d/1XWAQStnk-4SwqDmLtmXYiTMKHgktTP8We1SCoS47DrQ/edit?usp=sharing"",""จัดที่ดิน!Y36"")"),397)</f>
        <v>397</v>
      </c>
      <c r="K360" s="497">
        <f t="shared" ca="1" si="161"/>
        <v>19.850000000000001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IFERROR(__xludf.DUMMYFUNCTION("IMPORTRANGE(""https://docs.google.com/spreadsheets/d/1XWAQStnk-4SwqDmLtmXYiTMKHgktTP8We1SCoS47DrQ/edit?usp=sharing"",""จัดที่ดิน!Z36"")"),4462.92)</f>
        <v>4462.92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IFERROR(__xludf.DUMMYFUNCTION("IMPORTRANGE(""https://docs.google.com/spreadsheets/d/1XWAQStnk-4SwqDmLtmXYiTMKHgktTP8We1SCoS47DrQ/edit?usp=sharing"",""จัดที่ดิน!AA36"")"),34)</f>
        <v>34</v>
      </c>
      <c r="K362" s="497">
        <f t="shared" ca="1" si="161"/>
        <v>1.7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IFERROR(__xludf.DUMMYFUNCTION("IMPORTRANGE(""https://docs.google.com/spreadsheets/d/1XWAQStnk-4SwqDmLtmXYiTMKHgktTP8We1SCoS47DrQ/edit?usp=sharing"",""จัดที่ดิน!AB36"")"),324.51)</f>
        <v>324.51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823</v>
      </c>
      <c r="K364" s="479">
        <f t="shared" ca="1" si="161"/>
        <v>27.433333333333334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9</v>
      </c>
      <c r="K365" s="491">
        <f t="shared" ca="1" si="161"/>
        <v>0.6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IFERROR(__xludf.DUMMYFUNCTION("IMPORTRANGE(""https://docs.google.com/spreadsheets/d/1XWAQStnk-4SwqDmLtmXYiTMKHgktTP8We1SCoS47DrQ/edit?usp=sharing"",""จัดที่ดิน!E36"")"),134)</f>
        <v>134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IFERROR(__xludf.DUMMYFUNCTION("IMPORTRANGE(""https://docs.google.com/spreadsheets/d/1XWAQStnk-4SwqDmLtmXYiTMKHgktTP8We1SCoS47DrQ/edit?usp=sharing"",""จัดที่ดิน!F36"")"),1702.62)</f>
        <v>1702.62</v>
      </c>
      <c r="K369" s="497">
        <f t="shared" ca="1" si="163"/>
        <v>11.3508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IFERROR(__xludf.DUMMYFUNCTION("IMPORTRANGE(""https://docs.google.com/spreadsheets/d/1XWAQStnk-4SwqDmLtmXYiTMKHgktTP8We1SCoS47DrQ/edit?usp=sharing"",""จัดที่ดิน!G36"")"),207)</f>
        <v>207</v>
      </c>
      <c r="K370" s="497">
        <f t="shared" ca="1" si="163"/>
        <v>13.8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IFERROR(__xludf.DUMMYFUNCTION("IMPORTRANGE(""https://docs.google.com/spreadsheets/d/1XWAQStnk-4SwqDmLtmXYiTMKHgktTP8We1SCoS47DrQ/edit?usp=sharing"",""จัดที่ดิน!H36"")"),2612.5)</f>
        <v>2612.5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IFERROR(__xludf.DUMMYFUNCTION("IMPORTRANGE(""https://docs.google.com/spreadsheets/d/1XWAQStnk-4SwqDmLtmXYiTMKHgktTP8We1SCoS47DrQ/edit?usp=sharing"",""จัดที่ดิน!I36"")"),9)</f>
        <v>9</v>
      </c>
      <c r="K372" s="497">
        <f t="shared" ca="1" si="163"/>
        <v>0.6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IFERROR(__xludf.DUMMYFUNCTION("IMPORTRANGE(""https://docs.google.com/spreadsheets/d/1XWAQStnk-4SwqDmLtmXYiTMKHgktTP8We1SCoS47DrQ/edit?usp=sharing"",""จัดที่ดิน!J36"")"),68.72)</f>
        <v>68.72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814</v>
      </c>
      <c r="K374" s="491">
        <f t="shared" ca="1" si="163"/>
        <v>54.266666666666666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IFERROR(__xludf.DUMMYFUNCTION("IMPORTRANGE(""https://docs.google.com/spreadsheets/d/1XWAQStnk-4SwqDmLtmXYiTMKHgktTP8We1SCoS47DrQ/edit?usp=sharing"",""จัดที่ดิน!AH36"")"),182)</f>
        <v>182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IFERROR(__xludf.DUMMYFUNCTION("IMPORTRANGE(""https://docs.google.com/spreadsheets/d/1XWAQStnk-4SwqDmLtmXYiTMKHgktTP8We1SCoS47DrQ/edit?usp=sharing"",""จัดที่ดิน!AI36"")"),1782.4)</f>
        <v>1782.4</v>
      </c>
      <c r="K378" s="497">
        <f t="shared" ca="1" si="164"/>
        <v>35.648000000000003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IFERROR(__xludf.DUMMYFUNCTION("IMPORTRANGE(""https://docs.google.com/spreadsheets/d/1XWAQStnk-4SwqDmLtmXYiTMKHgktTP8We1SCoS47DrQ/edit?usp=sharing"",""จัดที่ดิน!AJ36"")"),979)</f>
        <v>979</v>
      </c>
      <c r="K379" s="497">
        <f t="shared" ca="1" si="164"/>
        <v>65.266666666666666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IFERROR(__xludf.DUMMYFUNCTION("IMPORTRANGE(""https://docs.google.com/spreadsheets/d/1XWAQStnk-4SwqDmLtmXYiTMKHgktTP8We1SCoS47DrQ/edit?usp=sharing"",""จัดที่ดิน!AK36"")"),13741.32)</f>
        <v>13741.32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IFERROR(__xludf.DUMMYFUNCTION("IMPORTRANGE(""https://docs.google.com/spreadsheets/d/1XWAQStnk-4SwqDmLtmXYiTMKHgktTP8We1SCoS47DrQ/edit?usp=sharing"",""จัดที่ดิน!AL36"")"),814)</f>
        <v>814</v>
      </c>
      <c r="K381" s="497">
        <f t="shared" ca="1" si="164"/>
        <v>54.266666666666666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IFERROR(__xludf.DUMMYFUNCTION("IMPORTRANGE(""https://docs.google.com/spreadsheets/d/1XWAQStnk-4SwqDmLtmXYiTMKHgktTP8We1SCoS47DrQ/edit?usp=sharing"",""จัดที่ดิน!AM36"")"),12140.98)</f>
        <v>12140.98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IFERROR(__xludf.DUMMYFUNCTION("IMPORTRANGE(""https://docs.google.com/spreadsheets/d/1QqKyyYR6Q21VydFLVH3TRQUabQu_ym0Zz7PgGX0-kHA/edit?usp=sharing"",""แผน!EW36"")"),50)</f>
        <v>50</v>
      </c>
      <c r="J385" s="500">
        <f ca="1">IFERROR(__xludf.DUMMYFUNCTION("IMPORTRANGE(""https://docs.google.com/spreadsheets/d/1XWAQStnk-4SwqDmLtmXYiTMKHgktTP8We1SCoS47DrQ/edit?usp=sharing"",""จัดที่ดิน!AP36"")"),2)</f>
        <v>2</v>
      </c>
      <c r="K385" s="501">
        <f ca="1">IF(I385&gt;0,J385*100/I385,0)</f>
        <v>4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5479290</v>
      </c>
      <c r="M414" s="548">
        <f t="shared" si="181"/>
        <v>0</v>
      </c>
      <c r="N414" s="548">
        <f t="shared" si="181"/>
        <v>2162645.34</v>
      </c>
      <c r="O414" s="548">
        <f ca="1">IF(L414&gt;0,N414*100/L414,0)</f>
        <v>39.469444763828889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70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2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si="184"/>
        <v>0</v>
      </c>
      <c r="N419" s="155">
        <f t="shared" si="184"/>
        <v>39070</v>
      </c>
      <c r="O419" s="155">
        <f t="shared" ref="O419:O424" ca="1" si="185">IF(L419&gt;0,N419*100/L419,0)</f>
        <v>16.398052547637036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238260</v>
      </c>
      <c r="M421" s="93">
        <f t="shared" si="187"/>
        <v>0</v>
      </c>
      <c r="N421" s="93">
        <f t="shared" si="187"/>
        <v>39070</v>
      </c>
      <c r="O421" s="93">
        <f t="shared" ca="1" si="185"/>
        <v>16.398052547637036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si="188"/>
        <v>0</v>
      </c>
      <c r="N422" s="497">
        <f t="shared" si="188"/>
        <v>39070</v>
      </c>
      <c r="O422" s="497">
        <f t="shared" ca="1" si="185"/>
        <v>16.398052547637036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v>0</v>
      </c>
      <c r="N424" s="93">
        <f>N425+N426+N427+N428</f>
        <v>39070</v>
      </c>
      <c r="O424" s="93">
        <f t="shared" ca="1" si="185"/>
        <v>16.398052547637036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18260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20810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70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2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IFERROR(__xludf.DUMMYFUNCTION("IMPORTRANGE(""https://docs.google.com/spreadsheets/d/1QqKyyYR6Q21VydFLVH3TRQUabQu_ym0Zz7PgGX0-kHA/edit?usp=sharing"",""แผน!FC36"")"),70)</f>
        <v>70</v>
      </c>
      <c r="J435" s="578">
        <v>0</v>
      </c>
      <c r="K435" s="497">
        <f t="shared" ca="1" si="192"/>
        <v>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IFERROR(__xludf.DUMMYFUNCTION("IMPORTRANGE(""https://docs.google.com/spreadsheets/d/1QqKyyYR6Q21VydFLVH3TRQUabQu_ym0Zz7PgGX0-kHA/edit?usp=sharing"",""แผน!FD36"")"),50)</f>
        <v>50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IFERROR(__xludf.DUMMYFUNCTION("IMPORTRANGE(""https://docs.google.com/spreadsheets/d/1QqKyyYR6Q21VydFLVH3TRQUabQu_ym0Zz7PgGX0-kHA/edit?usp=sharing"",""แผน!FF36"")"),20)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70</v>
      </c>
      <c r="J442" s="584">
        <f t="shared" si="195"/>
        <v>70</v>
      </c>
      <c r="K442" s="585">
        <f t="shared" ca="1" si="194"/>
        <v>100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140</v>
      </c>
      <c r="J443" s="564">
        <f t="shared" si="196"/>
        <v>140</v>
      </c>
      <c r="K443" s="565">
        <f t="shared" ca="1" si="194"/>
        <v>100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si="197"/>
        <v>0</v>
      </c>
      <c r="N444" s="195">
        <f t="shared" si="197"/>
        <v>311900.01</v>
      </c>
      <c r="O444" s="195">
        <f t="shared" ref="O444:O449" ca="1" si="198">IF(L444&gt;0,N444*100/L444,0)</f>
        <v>70.216121116614133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444200</v>
      </c>
      <c r="M446" s="93">
        <f t="shared" si="200"/>
        <v>0</v>
      </c>
      <c r="N446" s="93">
        <f t="shared" si="200"/>
        <v>311900.01</v>
      </c>
      <c r="O446" s="93">
        <f t="shared" ca="1" si="198"/>
        <v>70.216121116614133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si="201"/>
        <v>0</v>
      </c>
      <c r="N447" s="497">
        <f t="shared" si="201"/>
        <v>311900.01</v>
      </c>
      <c r="O447" s="497">
        <f t="shared" ca="1" si="198"/>
        <v>70.216121116614133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v>0</v>
      </c>
      <c r="N449" s="93">
        <f>N450+N451+N452+N453</f>
        <v>311900.01</v>
      </c>
      <c r="O449" s="93">
        <f t="shared" ca="1" si="198"/>
        <v>70.216121116614133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110200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159000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37700.01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5000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ca="1">IF(I462&gt;0,J462*100/I462,0)</f>
        <v>100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IFERROR(__xludf.DUMMYFUNCTION("IMPORTRANGE(""https://docs.google.com/spreadsheets/d/1QqKyyYR6Q21VydFLVH3TRQUabQu_ym0Zz7PgGX0-kHA/edit?usp=sharing"",""แผน!FX36"")"),131)</f>
        <v>131</v>
      </c>
      <c r="J465" s="584">
        <f>J485+J489+J492</f>
        <v>134</v>
      </c>
      <c r="K465" s="585">
        <f t="shared" ref="K465:K466" ca="1" si="205">IF(I465&gt;0,J465*100/I465,0)</f>
        <v>102.29007633587786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IFERROR(__xludf.DUMMYFUNCTION("IMPORTRANGE(""https://docs.google.com/spreadsheets/d/1QqKyyYR6Q21VydFLVH3TRQUabQu_ym0Zz7PgGX0-kHA/edit?usp=sharing"",""แผน!FW36"")"),1300)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si="206"/>
        <v>0</v>
      </c>
      <c r="N467" s="195">
        <f t="shared" si="206"/>
        <v>191193.35</v>
      </c>
      <c r="O467" s="195">
        <f t="shared" ref="O467:O472" ca="1" si="207">IF(L467&gt;0,N467*100/L467,0)</f>
        <v>16.379699261003136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1167258</v>
      </c>
      <c r="M469" s="93">
        <f t="shared" si="209"/>
        <v>0</v>
      </c>
      <c r="N469" s="93">
        <f t="shared" si="209"/>
        <v>191193.35</v>
      </c>
      <c r="O469" s="93">
        <f t="shared" ca="1" si="207"/>
        <v>16.379699261003136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si="210"/>
        <v>0</v>
      </c>
      <c r="N470" s="497">
        <f t="shared" si="210"/>
        <v>191193.35</v>
      </c>
      <c r="O470" s="497">
        <f t="shared" ca="1" si="207"/>
        <v>16.379699261003136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v>0</v>
      </c>
      <c r="N472" s="93">
        <f>N473+N474+N475+N476</f>
        <v>191193.35</v>
      </c>
      <c r="O472" s="93">
        <f t="shared" ca="1" si="207"/>
        <v>16.379699261003136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136320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36833.35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18040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1247</v>
      </c>
      <c r="K483" s="497">
        <f ca="1">IF(I483&gt;0,J483*100/I483,0)</f>
        <v>106.58119658119658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57</v>
      </c>
      <c r="K487" s="497">
        <f ca="1">IF(I487&gt;0,J487*100/I487,0)</f>
        <v>43.846153846153847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23</v>
      </c>
      <c r="K489" s="497">
        <f ca="1">IF(I489&gt;0,J489*100/I489,0)</f>
        <v>176.92307692307693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50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si="226"/>
        <v>0</v>
      </c>
      <c r="N523" s="195">
        <f t="shared" si="226"/>
        <v>102970</v>
      </c>
      <c r="O523" s="195">
        <f t="shared" ref="O523:O528" ca="1" si="227">IF(L523&gt;0,N523*100/L523,0)</f>
        <v>24.088803630749076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427460</v>
      </c>
      <c r="M525" s="93">
        <f t="shared" si="229"/>
        <v>0</v>
      </c>
      <c r="N525" s="93">
        <f t="shared" si="229"/>
        <v>102970</v>
      </c>
      <c r="O525" s="93">
        <f t="shared" ca="1" si="227"/>
        <v>24.088803630749076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si="230"/>
        <v>0</v>
      </c>
      <c r="N526" s="497">
        <f t="shared" si="230"/>
        <v>102970</v>
      </c>
      <c r="O526" s="497">
        <f t="shared" ca="1" si="227"/>
        <v>24.088803630749076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v>0</v>
      </c>
      <c r="N528" s="93">
        <f>N529+N530+N531+N532</f>
        <v>102970</v>
      </c>
      <c r="O528" s="93">
        <f t="shared" ca="1" si="227"/>
        <v>24.088803630749076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102230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740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IFERROR(__xludf.DUMMYFUNCTION("IMPORTRANGE(""https://docs.google.com/spreadsheets/d/1QqKyyYR6Q21VydFLVH3TRQUabQu_ym0Zz7PgGX0-kHA/edit?usp=sharing"",""แผน!GU36"")"),50)</f>
        <v>50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30</v>
      </c>
      <c r="K538" s="497">
        <f t="shared" ca="1" si="234"/>
        <v>60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30</v>
      </c>
      <c r="K541" s="497">
        <f t="shared" ca="1" si="234"/>
        <v>60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103382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759787</v>
      </c>
      <c r="M544" s="155">
        <f t="shared" si="236"/>
        <v>0</v>
      </c>
      <c r="N544" s="155">
        <f t="shared" si="236"/>
        <v>270797.8</v>
      </c>
      <c r="O544" s="155">
        <f t="shared" ref="O544:O549" ca="1" si="237">IF(L544&gt;0,N544*100/L544,0)</f>
        <v>35.641278410923064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759787</v>
      </c>
      <c r="M546" s="93">
        <f t="shared" si="240"/>
        <v>0</v>
      </c>
      <c r="N546" s="93">
        <f t="shared" si="240"/>
        <v>270797.8</v>
      </c>
      <c r="O546" s="93">
        <f t="shared" ca="1" si="237"/>
        <v>35.641278410923064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759787</v>
      </c>
      <c r="M547" s="497">
        <f t="shared" si="241"/>
        <v>0</v>
      </c>
      <c r="N547" s="497">
        <f t="shared" si="241"/>
        <v>270797.8</v>
      </c>
      <c r="O547" s="497">
        <f t="shared" ca="1" si="237"/>
        <v>35.641278410923064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IFERROR(__xludf.DUMMYFUNCTION("IMPORTRANGE(""https://docs.google.com/spreadsheets/d/1QqKyyYR6Q21VydFLVH3TRQUabQu_ym0Zz7PgGX0-kHA/edit?usp=sharing"",""แผน!HB36"")"),759787)</f>
        <v>759787</v>
      </c>
      <c r="M549" s="93">
        <v>0</v>
      </c>
      <c r="N549" s="93">
        <f>N550+N551+N552+N553+N554</f>
        <v>270797.8</v>
      </c>
      <c r="O549" s="93">
        <f t="shared" ca="1" si="237"/>
        <v>35.641278410923064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38566.67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232231.13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103382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10751.98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IFERROR(__xludf.DUMMYFUNCTION("IMPORTRANGE(""https://docs.google.com/spreadsheets/d/1QqKyyYR6Q21VydFLVH3TRQUabQu_ym0Zz7PgGX0-kHA/edit?usp=sharing"",""แผน!HL36"")"),0)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IFERROR(__xludf.DUMMYFUNCTION("IMPORTRANGE(""https://docs.google.com/spreadsheets/d/1QqKyyYR6Q21VydFLVH3TRQUabQu_ym0Zz7PgGX0-kHA/edit?usp=sharing"",""แผน!HK36"")"),0)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2500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si="263"/>
        <v>0</v>
      </c>
      <c r="N629" s="195">
        <f t="shared" si="263"/>
        <v>1035607.61</v>
      </c>
      <c r="O629" s="195">
        <f t="shared" ref="O629:O634" ca="1" si="264">IF(L629&gt;0,N629*100/L629,0)</f>
        <v>49.953939583961414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2073125</v>
      </c>
      <c r="M631" s="93">
        <f t="shared" si="266"/>
        <v>0</v>
      </c>
      <c r="N631" s="93">
        <f t="shared" si="266"/>
        <v>1035607.61</v>
      </c>
      <c r="O631" s="93">
        <f t="shared" ca="1" si="264"/>
        <v>49.953939583961414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si="267"/>
        <v>0</v>
      </c>
      <c r="N632" s="497">
        <f t="shared" si="267"/>
        <v>1035607.61</v>
      </c>
      <c r="O632" s="497">
        <f t="shared" ca="1" si="264"/>
        <v>49.953939583961414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v>0</v>
      </c>
      <c r="N634" s="93">
        <f>N635+N636+N637+N638</f>
        <v>1035607.61</v>
      </c>
      <c r="O634" s="93">
        <f t="shared" ca="1" si="264"/>
        <v>49.953939583961414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116566.67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919040.94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IFERROR(__xludf.DUMMYFUNCTION("IMPORTRANGE(""https://docs.google.com/spreadsheets/d/1XWAQStnk-4SwqDmLtmXYiTMKHgktTP8We1SCoS47DrQ/edit?usp=sharing"",""จัดที่ดิน!AS36"")"),481)</f>
        <v>481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IFERROR(__xludf.DUMMYFUNCTION("IMPORTRANGE(""https://docs.google.com/spreadsheets/d/1XWAQStnk-4SwqDmLtmXYiTMKHgktTP8We1SCoS47DrQ/edit?usp=sharing"",""จัดที่ดิน!AT36"")"),324.58)</f>
        <v>324.58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IFERROR(__xludf.DUMMYFUNCTION("IMPORTRANGE(""https://docs.google.com/spreadsheets/d/1XWAQStnk-4SwqDmLtmXYiTMKHgktTP8We1SCoS47DrQ/edit?usp=sharing"",""จัดที่ดิน!AU36"")"),2436)</f>
        <v>2436</v>
      </c>
      <c r="K647" s="163">
        <f t="shared" ca="1" si="271"/>
        <v>97.44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IFERROR(__xludf.DUMMYFUNCTION("IMPORTRANGE(""https://docs.google.com/spreadsheets/d/1XWAQStnk-4SwqDmLtmXYiTMKHgktTP8We1SCoS47DrQ/edit?usp=sharing"",""จัดที่ดิน!AV36"")"),1459.29)</f>
        <v>1459.29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IFERROR(__xludf.DUMMYFUNCTION("IMPORTRANGE(""https://docs.google.com/spreadsheets/d/1XWAQStnk-4SwqDmLtmXYiTMKHgktTP8We1SCoS47DrQ/edit?usp=sharing"",""จัดที่ดิน!AW36"")"),57)</f>
        <v>57</v>
      </c>
      <c r="K649" s="163">
        <f t="shared" ca="1" si="271"/>
        <v>2.2799999999999998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IFERROR(__xludf.DUMMYFUNCTION("IMPORTRANGE(""https://docs.google.com/spreadsheets/d/1XWAQStnk-4SwqDmLtmXYiTMKHgktTP8We1SCoS47DrQ/edit?usp=sharing"",""จัดที่ดิน!AX36"")"),37.96)</f>
        <v>37.96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IFERROR(__xludf.DUMMYFUNCTION("IMPORTRANGE(""https://docs.google.com/spreadsheets/d/1XWAQStnk-4SwqDmLtmXYiTMKHgktTP8We1SCoS47DrQ/edit?usp=sharing"",""จัดที่ดิน!AZ36"")"),0)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320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si="273"/>
        <v>0</v>
      </c>
      <c r="N655" s="195">
        <f t="shared" si="273"/>
        <v>9640</v>
      </c>
      <c r="O655" s="195">
        <f t="shared" ref="O655:O660" ca="1" si="274">IF(L655&gt;0,N655*100/L655,0)</f>
        <v>33.472222222222221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28800</v>
      </c>
      <c r="M657" s="93">
        <f t="shared" si="276"/>
        <v>0</v>
      </c>
      <c r="N657" s="93">
        <f t="shared" si="276"/>
        <v>9640</v>
      </c>
      <c r="O657" s="93">
        <f t="shared" ca="1" si="274"/>
        <v>33.472222222222221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si="277"/>
        <v>0</v>
      </c>
      <c r="N658" s="497">
        <f t="shared" si="277"/>
        <v>9640</v>
      </c>
      <c r="O658" s="497">
        <f t="shared" ca="1" si="274"/>
        <v>33.472222222222221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v>0</v>
      </c>
      <c r="N660" s="93">
        <f>N661+N662+N663+N664</f>
        <v>9640</v>
      </c>
      <c r="O660" s="93">
        <f t="shared" ca="1" si="274"/>
        <v>33.472222222222221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9640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IFERROR(__xludf.DUMMYFUNCTION("IMPORTRANGE(""https://docs.google.com/spreadsheets/d/1QqKyyYR6Q21VydFLVH3TRQUabQu_ym0Zz7PgGX0-kHA/edit?usp=sharing"",""แผน!IA36"")"),320)</f>
        <v>320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IFERROR(__xludf.DUMMYFUNCTION("IMPORTRANGE(""https://docs.google.com/spreadsheets/d/1QqKyyYR6Q21VydFLVH3TRQUabQu_ym0Zz7PgGX0-kHA/edit?usp=sharing"",""แผน!IB36"")"),0)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5200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IFERROR(__xludf.DUMMYFUNCTION("IMPORTRANGE(""https://docs.google.com/spreadsheets/d/1QqKyyYR6Q21VydFLVH3TRQUabQu_ym0Zz7PgGX0-kHA/edit?usp=sharing"",""แผน!IE36"")"),0)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IFERROR(__xludf.DUMMYFUNCTION("IMPORTRANGE(""https://docs.google.com/spreadsheets/d/1QqKyyYR6Q21VydFLVH3TRQUabQu_ym0Zz7PgGX0-kHA/edit?usp=sharing"",""แผน!IH36"")"),0)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IFERROR(__xludf.DUMMYFUNCTION("IMPORTRANGE(""https://docs.google.com/spreadsheets/d/1QqKyyYR6Q21VydFLVH3TRQUabQu_ym0Zz7PgGX0-kHA/edit?usp=sharing"",""แผน!IJ36"")"),0)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IFERROR(__xludf.DUMMYFUNCTION("IMPORTRANGE(""https://docs.google.com/spreadsheets/d/1QqKyyYR6Q21VydFLVH3TRQUabQu_ym0Zz7PgGX0-kHA/edit?usp=sharing"",""แผน!IK36"")"),0)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IFERROR(__xludf.DUMMYFUNCTION("IMPORTRANGE(""https://docs.google.com/spreadsheets/d/1QqKyyYR6Q21VydFLVH3TRQUabQu_ym0Zz7PgGX0-kHA/edit?usp=sharing"",""แผน!IP36"")"),0)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5000</v>
      </c>
      <c r="J785" s="801">
        <f t="shared" ca="1" si="318"/>
        <v>1760</v>
      </c>
      <c r="K785" s="802">
        <f ca="1">IF(I785&gt;0,J785*100/I785,0)</f>
        <v>35.200000000000003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335200</v>
      </c>
      <c r="M786" s="195">
        <f t="shared" si="319"/>
        <v>0</v>
      </c>
      <c r="N786" s="195">
        <f t="shared" si="319"/>
        <v>201466.57</v>
      </c>
      <c r="O786" s="195">
        <f t="shared" ref="O786:O791" ca="1" si="320">IF(L786&gt;0,N786*100/L786,0)</f>
        <v>60.103392004773269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335200</v>
      </c>
      <c r="M788" s="93">
        <f t="shared" si="322"/>
        <v>0</v>
      </c>
      <c r="N788" s="93">
        <f t="shared" si="322"/>
        <v>201466.57</v>
      </c>
      <c r="O788" s="93">
        <f t="shared" ca="1" si="320"/>
        <v>60.103392004773269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335200</v>
      </c>
      <c r="M789" s="497">
        <f t="shared" si="323"/>
        <v>0</v>
      </c>
      <c r="N789" s="497">
        <f t="shared" si="323"/>
        <v>201466.57</v>
      </c>
      <c r="O789" s="497">
        <f t="shared" ca="1" si="320"/>
        <v>60.103392004773269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v>0</v>
      </c>
      <c r="N791" s="93">
        <f>N792+N793+N794+N795</f>
        <v>201466.57</v>
      </c>
      <c r="O791" s="93">
        <f t="shared" ca="1" si="320"/>
        <v>60.103392004773269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38566.57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v>162900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IFERROR(__xludf.DUMMYFUNCTION("IMPORTRANGE(""https://docs.google.com/spreadsheets/d/1MaWodYyGHDf7siQLGxnXhG4mBNTNIuy296niS2xXulU/edit?usp=sharing"",""RTK!H36"")"),76)</f>
        <v>76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IFERROR(__xludf.DUMMYFUNCTION("IMPORTRANGE(""https://docs.google.com/spreadsheets/d/1MaWodYyGHDf7siQLGxnXhG4mBNTNIuy296niS2xXulU/edit?usp=sharing"",""RTK!G36"")"),5000)</f>
        <v>5000</v>
      </c>
      <c r="J801" s="816">
        <f ca="1">IFERROR(__xludf.DUMMYFUNCTION("IMPORTRANGE(""https://docs.google.com/spreadsheets/d/1MaWodYyGHDf7siQLGxnXhG4mBNTNIuy296niS2xXulU/edit?usp=sharing"",""RTK!I36"")"),1760)</f>
        <v>1760</v>
      </c>
      <c r="K801" s="817">
        <f ca="1">IF(I801&gt;0,J801*100/I801,0)</f>
        <v>35.200000000000003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IFERROR(__xludf.DUMMYFUNCTION("IMPORTRANGE(""https://docs.google.com/spreadsheets/d/1MaWodYyGHDf7siQLGxnXhG4mBNTNIuy296niS2xXulU/edit?usp=sharing"",""RTK!L36"")"),0)</f>
        <v>0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814" t="s">
        <v>46</v>
      </c>
      <c r="I803" s="815">
        <f ca="1">IFERROR(__xludf.DUMMYFUNCTION("IMPORTRANGE(""https://docs.google.com/spreadsheets/d/1MaWodYyGHDf7siQLGxnXhG4mBNTNIuy296niS2xXulU/edit?usp=sharing"",""RTK!K36"")"),0)</f>
        <v>0</v>
      </c>
      <c r="J803" s="816">
        <f ca="1">IFERROR(__xludf.DUMMYFUNCTION("IMPORTRANGE(""https://docs.google.com/spreadsheets/d/1MaWodYyGHDf7siQLGxnXhG4mBNTNIuy296niS2xXulU/edit?usp=sharing"",""RTK!M36"")"),0)</f>
        <v>0</v>
      </c>
      <c r="K803" s="81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IFERROR(__xludf.DUMMYFUNCTION("IMPORTRANGE(""https://docs.google.com/spreadsheets/d/19vJNZY_5yjcGF2XGBMNZRCAIB0Kwfpjp8YEOfu-bneM/edit?usp=sharing"",""งานกองทุน!F36"")"),1524000)</f>
        <v>1524000</v>
      </c>
      <c r="K821" s="497">
        <f t="shared" ref="K821:K828" ca="1" si="336">IF(I821&gt;0,J821*100/I821,0)</f>
        <v>10.16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IFERROR(__xludf.DUMMYFUNCTION("IMPORTRANGE(""https://docs.google.com/spreadsheets/d/19vJNZY_5yjcGF2XGBMNZRCAIB0Kwfpjp8YEOfu-bneM/edit?usp=sharing"",""งานกองทุน!E36"")"),40)</f>
        <v>40</v>
      </c>
      <c r="K822" s="497">
        <f t="shared" ca="1" si="336"/>
        <v>10.230179028132993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IFERROR(__xludf.DUMMYFUNCTION("IMPORTRANGE(""https://docs.google.com/spreadsheets/d/19vJNZY_5yjcGF2XGBMNZRCAIB0Kwfpjp8YEOfu-bneM/edit?usp=sharing"",""งานกองทุน!K36"")"),336369.05)</f>
        <v>336369.05</v>
      </c>
      <c r="K823" s="497">
        <f t="shared" ca="1" si="336"/>
        <v>4.5880414245509895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IFERROR(__xludf.DUMMYFUNCTION("IMPORTRANGE(""https://docs.google.com/spreadsheets/d/19vJNZY_5yjcGF2XGBMNZRCAIB0Kwfpjp8YEOfu-bneM/edit?usp=sharing"",""งานกองทุน!J36"")"),39)</f>
        <v>39</v>
      </c>
      <c r="K824" s="497">
        <f t="shared" ca="1" si="336"/>
        <v>16.810344827586206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IFERROR(__xludf.DUMMYFUNCTION("IMPORTRANGE(""https://docs.google.com/spreadsheets/d/19vJNZY_5yjcGF2XGBMNZRCAIB0Kwfpjp8YEOfu-bneM/edit?usp=sharing"",""งานกองทุน!P36"")"),31652.96)</f>
        <v>31652.959999999999</v>
      </c>
      <c r="K825" s="497">
        <f t="shared" ca="1" si="336"/>
        <v>61.241493742536584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IFERROR(__xludf.DUMMYFUNCTION("IMPORTRANGE(""https://docs.google.com/spreadsheets/d/19vJNZY_5yjcGF2XGBMNZRCAIB0Kwfpjp8YEOfu-bneM/edit?usp=sharing"",""งานกองทุน!O36"")"),164)</f>
        <v>164</v>
      </c>
      <c r="K826" s="497">
        <f t="shared" ca="1" si="336"/>
        <v>61.194029850746269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IFERROR(__xludf.DUMMYFUNCTION("IMPORTRANGE(""https://docs.google.com/spreadsheets/d/19vJNZY_5yjcGF2XGBMNZRCAIB0Kwfpjp8YEOfu-bneM/edit?usp=sharing"",""งานกองทุน!U36"")"),1056000)</f>
        <v>1056000</v>
      </c>
      <c r="K827" s="497">
        <f t="shared" ca="1" si="336"/>
        <v>9.3451327433628322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IFERROR(__xludf.DUMMYFUNCTION("IMPORTRANGE(""https://docs.google.com/spreadsheets/d/19vJNZY_5yjcGF2XGBMNZRCAIB0Kwfpjp8YEOfu-bneM/edit?usp=sharing"",""งานกองทุน!R36"")"),452)</f>
        <v>452</v>
      </c>
      <c r="J828" s="500">
        <f ca="1">IFERROR(__xludf.DUMMYFUNCTION("IMPORTRANGE(""https://docs.google.com/spreadsheets/d/19vJNZY_5yjcGF2XGBMNZRCAIB0Kwfpjp8YEOfu-bneM/edit?usp=sharing"",""งานกองทุน!T36"")"),28)</f>
        <v>28</v>
      </c>
      <c r="K828" s="501">
        <f t="shared" ca="1" si="336"/>
        <v>6.1946902654867255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C69A6-0312-4479-B675-DFDBB4F993B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341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4916232</v>
      </c>
      <c r="N8" s="22">
        <f t="shared" ca="1" si="0"/>
        <v>1918164.5</v>
      </c>
      <c r="O8" s="22">
        <f t="shared" ref="O8:O16" ca="1" si="1">IF(L8&gt;0,N8*100/L8,0)</f>
        <v>22.45855738740628</v>
      </c>
      <c r="P8" s="22">
        <f t="shared" ref="P8:P16" ca="1" si="2">IF(M8&gt;0,N8*100/M8,0)</f>
        <v>39.016964618431352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4916232</v>
      </c>
      <c r="N10" s="30">
        <f t="shared" ca="1" si="3"/>
        <v>1918164.5</v>
      </c>
      <c r="O10" s="30">
        <f t="shared" ca="1" si="1"/>
        <v>22.45855738740628</v>
      </c>
      <c r="P10" s="30">
        <f t="shared" ca="1" si="2"/>
        <v>39.016964618431352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6280707</v>
      </c>
      <c r="M11" s="497">
        <f t="shared" ca="1" si="4"/>
        <v>2656032</v>
      </c>
      <c r="N11" s="497">
        <f t="shared" ca="1" si="4"/>
        <v>1617964.5</v>
      </c>
      <c r="O11" s="497">
        <f t="shared" ca="1" si="1"/>
        <v>25.760865775142829</v>
      </c>
      <c r="P11" s="497">
        <f t="shared" ca="1" si="2"/>
        <v>60.916604167419671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6280707</v>
      </c>
      <c r="M13" s="93">
        <f t="shared" ca="1" si="5"/>
        <v>2656032</v>
      </c>
      <c r="N13" s="93">
        <f t="shared" ca="1" si="5"/>
        <v>1617964.5</v>
      </c>
      <c r="O13" s="93">
        <f t="shared" ca="1" si="1"/>
        <v>25.760865775142829</v>
      </c>
      <c r="P13" s="93">
        <f t="shared" ca="1" si="2"/>
        <v>60.916604167419671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2260200</v>
      </c>
      <c r="N14" s="497">
        <f t="shared" ca="1" si="6"/>
        <v>300200</v>
      </c>
      <c r="O14" s="497">
        <f t="shared" ca="1" si="1"/>
        <v>13.282010441553846</v>
      </c>
      <c r="P14" s="497">
        <f t="shared" ca="1" si="2"/>
        <v>13.282010441553846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2260200</v>
      </c>
      <c r="N16" s="52">
        <f t="shared" ca="1" si="7"/>
        <v>300200</v>
      </c>
      <c r="O16" s="52">
        <f t="shared" ca="1" si="1"/>
        <v>13.282010441553846</v>
      </c>
      <c r="P16" s="52">
        <f t="shared" ca="1" si="2"/>
        <v>13.282010441553846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4916232</v>
      </c>
      <c r="N18" s="22">
        <f t="shared" ca="1" si="8"/>
        <v>1477199.5</v>
      </c>
      <c r="O18" s="22">
        <f t="shared" ref="O18:O26" ca="1" si="9">IF(L18&gt;0,N18*100/L18,0)</f>
        <v>25.746163172028769</v>
      </c>
      <c r="P18" s="22">
        <f t="shared" ref="P18:P26" ca="1" si="10">IF(M18&gt;0,N18*100/M18,0)</f>
        <v>30.047391986383069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4916232</v>
      </c>
      <c r="N20" s="30">
        <f t="shared" ca="1" si="11"/>
        <v>1477199.5</v>
      </c>
      <c r="O20" s="30">
        <f t="shared" ca="1" si="9"/>
        <v>25.746163172028769</v>
      </c>
      <c r="P20" s="30">
        <f t="shared" ca="1" si="10"/>
        <v>30.047391986383069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2656032</v>
      </c>
      <c r="N21" s="497">
        <f t="shared" ca="1" si="12"/>
        <v>1176999.5</v>
      </c>
      <c r="O21" s="497">
        <f t="shared" ca="1" si="9"/>
        <v>33.847579997653384</v>
      </c>
      <c r="P21" s="497">
        <f t="shared" ca="1" si="10"/>
        <v>44.314206304743315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3477352</v>
      </c>
      <c r="M23" s="93">
        <f t="shared" ca="1" si="13"/>
        <v>2656032</v>
      </c>
      <c r="N23" s="93">
        <f t="shared" ca="1" si="13"/>
        <v>1176999.5</v>
      </c>
      <c r="O23" s="93">
        <f t="shared" ca="1" si="9"/>
        <v>33.847579997653384</v>
      </c>
      <c r="P23" s="93">
        <f t="shared" ca="1" si="10"/>
        <v>44.314206304743315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2260200</v>
      </c>
      <c r="N24" s="497">
        <f t="shared" ca="1" si="14"/>
        <v>300200</v>
      </c>
      <c r="O24" s="497">
        <f t="shared" ca="1" si="9"/>
        <v>13.282010441553846</v>
      </c>
      <c r="P24" s="497">
        <f t="shared" ca="1" si="10"/>
        <v>13.282010441553846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2260200</v>
      </c>
      <c r="N26" s="52">
        <f t="shared" ca="1" si="15"/>
        <v>300200</v>
      </c>
      <c r="O26" s="52">
        <f t="shared" ca="1" si="9"/>
        <v>13.282010441553846</v>
      </c>
      <c r="P26" s="52">
        <f t="shared" ca="1" si="10"/>
        <v>13.282010441553846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si="16"/>
        <v>0</v>
      </c>
      <c r="N28" s="22">
        <f t="shared" si="16"/>
        <v>440965</v>
      </c>
      <c r="O28" s="22">
        <f t="shared" ref="O28:O37" ca="1" si="17">IF(L28&gt;0,N28*100/L28,0)</f>
        <v>15.729902206463327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si="19"/>
        <v>0</v>
      </c>
      <c r="N30" s="30">
        <f t="shared" si="19"/>
        <v>440965</v>
      </c>
      <c r="O30" s="30">
        <f t="shared" ca="1" si="17"/>
        <v>15.729902206463327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2803355</v>
      </c>
      <c r="M31" s="497">
        <f t="shared" si="20"/>
        <v>0</v>
      </c>
      <c r="N31" s="497">
        <f t="shared" si="20"/>
        <v>440965</v>
      </c>
      <c r="O31" s="497">
        <f t="shared" ca="1" si="17"/>
        <v>15.729902206463327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2803355</v>
      </c>
      <c r="M33" s="93">
        <f t="shared" si="21"/>
        <v>0</v>
      </c>
      <c r="N33" s="93">
        <f t="shared" si="21"/>
        <v>440965</v>
      </c>
      <c r="O33" s="93">
        <f t="shared" ca="1" si="17"/>
        <v>15.729902206463327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5737552</v>
      </c>
      <c r="M37" s="843">
        <f t="shared" ca="1" si="24"/>
        <v>4916232</v>
      </c>
      <c r="N37" s="843">
        <f t="shared" ca="1" si="24"/>
        <v>1477199.5</v>
      </c>
      <c r="O37" s="843">
        <f t="shared" ca="1" si="17"/>
        <v>25.746163172028769</v>
      </c>
      <c r="P37" s="843">
        <f t="shared" ca="1" si="18"/>
        <v>30.047391986383069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702538</v>
      </c>
      <c r="N41" s="85">
        <f t="shared" ca="1" si="25"/>
        <v>247301</v>
      </c>
      <c r="O41" s="85">
        <f t="shared" ref="O41:O49" ca="1" si="26">IF(L41&gt;0,N41*100/L41,0)</f>
        <v>35.417663217050823</v>
      </c>
      <c r="P41" s="85">
        <f t="shared" ref="P41:P49" ca="1" si="27">IF(M41&gt;0,N41*100/M41,0)</f>
        <v>35.201085208202258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702538</v>
      </c>
      <c r="N43" s="92">
        <f t="shared" ca="1" si="28"/>
        <v>247301</v>
      </c>
      <c r="O43" s="92">
        <f t="shared" ca="1" si="26"/>
        <v>35.417663217050823</v>
      </c>
      <c r="P43" s="92">
        <f t="shared" ca="1" si="27"/>
        <v>35.201085208202258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702538</v>
      </c>
      <c r="N44" s="497">
        <f t="shared" ca="1" si="29"/>
        <v>247301</v>
      </c>
      <c r="O44" s="497">
        <f t="shared" ca="1" si="26"/>
        <v>35.417663217050823</v>
      </c>
      <c r="P44" s="497">
        <f t="shared" ca="1" si="27"/>
        <v>35.201085208202258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IFERROR(__xludf.DUMMYFUNCTION("IMPORTRANGE(""https://docs.google.com/spreadsheets/d/1MeEWN-I1oV_STSDYn1IFDPWt_1FKiwhDph83XaGc0o0/edit?usp=sharing"",""งบพรบ!R37"")"),702538)</f>
        <v>702538</v>
      </c>
      <c r="N46" s="93">
        <f ca="1">IFERROR(__xludf.DUMMYFUNCTION("IMPORTRANGE(""https://docs.google.com/spreadsheets/d/1MeEWN-I1oV_STSDYn1IFDPWt_1FKiwhDph83XaGc0o0/edit?usp=sharing"",""งบพรบ!T37"")"),247301)</f>
        <v>247301</v>
      </c>
      <c r="O46" s="93">
        <f t="shared" ca="1" si="26"/>
        <v>35.417663217050823</v>
      </c>
      <c r="P46" s="93">
        <f t="shared" ca="1" si="27"/>
        <v>35.201085208202258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2585550</v>
      </c>
      <c r="N53" s="116">
        <f t="shared" ca="1" si="31"/>
        <v>390349.5</v>
      </c>
      <c r="O53" s="116">
        <f t="shared" ref="O53:O61" ca="1" si="32">IF(L53&gt;0,N53*100/L53,0)</f>
        <v>14.262989622917276</v>
      </c>
      <c r="P53" s="116">
        <f t="shared" ref="P53:P61" ca="1" si="33">IF(M53&gt;0,N53*100/M53,0)</f>
        <v>15.09734872657655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2585550</v>
      </c>
      <c r="N55" s="123">
        <f t="shared" ca="1" si="34"/>
        <v>390349.5</v>
      </c>
      <c r="O55" s="123">
        <f t="shared" ca="1" si="32"/>
        <v>14.262989622917276</v>
      </c>
      <c r="P55" s="123">
        <f t="shared" ca="1" si="33"/>
        <v>15.09734872657655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460950</v>
      </c>
      <c r="N56" s="497">
        <f t="shared" ca="1" si="35"/>
        <v>225749.5</v>
      </c>
      <c r="O56" s="497">
        <f t="shared" ca="1" si="32"/>
        <v>36.875122508983992</v>
      </c>
      <c r="P56" s="497">
        <f t="shared" ca="1" si="33"/>
        <v>48.974834580757133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IFERROR(__xludf.DUMMYFUNCTION("IMPORTRANGE(""https://docs.google.com/spreadsheets/d/1MeEWN-I1oV_STSDYn1IFDPWt_1FKiwhDph83XaGc0o0/edit?usp=sharing"",""งบพรบ!AB37"")"),460950)</f>
        <v>460950</v>
      </c>
      <c r="N58" s="93">
        <f ca="1">IFERROR(__xludf.DUMMYFUNCTION("IMPORTRANGE(""https://docs.google.com/spreadsheets/d/1MeEWN-I1oV_STSDYn1IFDPWt_1FKiwhDph83XaGc0o0/edit?usp=sharing"",""งบพรบ!AD37"")"),225749.5)</f>
        <v>225749.5</v>
      </c>
      <c r="O58" s="93">
        <f t="shared" ca="1" si="32"/>
        <v>36.875122508983992</v>
      </c>
      <c r="P58" s="93">
        <f t="shared" ca="1" si="33"/>
        <v>48.974834580757133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2124600</v>
      </c>
      <c r="N59" s="497">
        <f t="shared" ca="1" si="36"/>
        <v>164600</v>
      </c>
      <c r="O59" s="497">
        <f t="shared" ca="1" si="32"/>
        <v>7.747340675891933</v>
      </c>
      <c r="P59" s="497">
        <f t="shared" ca="1" si="33"/>
        <v>7.747340675891933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IFERROR(__xludf.DUMMYFUNCTION("IMPORTRANGE(""https://docs.google.com/spreadsheets/d/1MeEWN-I1oV_STSDYn1IFDPWt_1FKiwhDph83XaGc0o0/edit?usp=sharing"",""งบพรบ!AC37"")"),2124600)</f>
        <v>2124600</v>
      </c>
      <c r="N61" s="52">
        <f ca="1">IFERROR(__xludf.DUMMYFUNCTION("IMPORTRANGE(""https://docs.google.com/spreadsheets/d/1MeEWN-I1oV_STSDYn1IFDPWt_1FKiwhDph83XaGc0o0/edit?usp=sharing"",""งบพรบ!AE37"")"),164600)</f>
        <v>164600</v>
      </c>
      <c r="O61" s="52">
        <f t="shared" ca="1" si="32"/>
        <v>7.747340675891933</v>
      </c>
      <c r="P61" s="52">
        <f t="shared" ca="1" si="33"/>
        <v>7.747340675891933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51590</v>
      </c>
      <c r="N88" s="155">
        <f t="shared" ca="1" si="49"/>
        <v>0</v>
      </c>
      <c r="O88" s="155">
        <f t="shared" ref="O88:O96" ca="1" si="50">IF(L88&gt;0,N88*100/L88,0)</f>
        <v>0</v>
      </c>
      <c r="P88" s="155">
        <f t="shared" ref="P88:P96" ca="1" si="51">IF(M88&gt;0,N88*100/M88,0)</f>
        <v>0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115640</v>
      </c>
      <c r="M90" s="93">
        <f t="shared" ca="1" si="52"/>
        <v>51590</v>
      </c>
      <c r="N90" s="93">
        <f t="shared" ca="1" si="52"/>
        <v>0</v>
      </c>
      <c r="O90" s="93">
        <f t="shared" ca="1" si="50"/>
        <v>0</v>
      </c>
      <c r="P90" s="93">
        <f t="shared" ca="1" si="51"/>
        <v>0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51590</v>
      </c>
      <c r="N91" s="497">
        <f t="shared" ca="1" si="53"/>
        <v>0</v>
      </c>
      <c r="O91" s="497">
        <f t="shared" ca="1" si="50"/>
        <v>0</v>
      </c>
      <c r="P91" s="497">
        <f t="shared" ca="1" si="51"/>
        <v>0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IFERROR(__xludf.DUMMYFUNCTION("IMPORTRANGE(""https://docs.google.com/spreadsheets/d/1MeEWN-I1oV_STSDYn1IFDPWt_1FKiwhDph83XaGc0o0/edit?usp=sharing"",""งบพรบ!AV37"")"),51590)</f>
        <v>51590</v>
      </c>
      <c r="N93" s="93">
        <f ca="1">IFERROR(__xludf.DUMMYFUNCTION("IMPORTRANGE(""https://docs.google.com/spreadsheets/d/1MeEWN-I1oV_STSDYn1IFDPWt_1FKiwhDph83XaGc0o0/edit?usp=sharing"",""งบพรบ!AX37"")"),0)</f>
        <v>0</v>
      </c>
      <c r="O93" s="93">
        <f t="shared" ca="1" si="50"/>
        <v>0</v>
      </c>
      <c r="P93" s="93">
        <f t="shared" ca="1" si="51"/>
        <v>0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</v>
      </c>
      <c r="K148" s="145">
        <f ca="1">IF(I148&gt;0,J148*100/I148,0)</f>
        <v>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4350</v>
      </c>
      <c r="O149" s="155">
        <f t="shared" ref="O149:O157" ca="1" si="78">IF(L149&gt;0,N149*100/L149,0)</f>
        <v>43.5</v>
      </c>
      <c r="P149" s="155">
        <f t="shared" ref="P149:P157" ca="1" si="79">IF(M149&gt;0,N149*100/M149,0)</f>
        <v>43.5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4350</v>
      </c>
      <c r="O151" s="93">
        <f t="shared" ca="1" si="78"/>
        <v>43.5</v>
      </c>
      <c r="P151" s="93">
        <f t="shared" ca="1" si="79"/>
        <v>43.5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4350</v>
      </c>
      <c r="O152" s="497">
        <f t="shared" ca="1" si="78"/>
        <v>43.5</v>
      </c>
      <c r="P152" s="497">
        <f t="shared" ca="1" si="79"/>
        <v>43.5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IFERROR(__xludf.DUMMYFUNCTION("IMPORTRANGE(""https://docs.google.com/spreadsheets/d/1MeEWN-I1oV_STSDYn1IFDPWt_1FKiwhDph83XaGc0o0/edit?usp=sharing"",""งบพรบ!CB37"")"),4350)</f>
        <v>4350</v>
      </c>
      <c r="O154" s="93">
        <f t="shared" ca="1" si="78"/>
        <v>43.5</v>
      </c>
      <c r="P154" s="93">
        <f t="shared" ca="1" si="79"/>
        <v>43.5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1</v>
      </c>
      <c r="K159" s="497">
        <f ca="1">IF(I159&gt;0,J159*100/I159,0)</f>
        <v>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18064</v>
      </c>
      <c r="O165" s="155">
        <f t="shared" ref="O165:O173" ca="1" si="85">IF(L165&gt;0,N165*100/L165,0)</f>
        <v>78.334778837814397</v>
      </c>
      <c r="P165" s="155">
        <f t="shared" ref="P165:P173" ca="1" si="86">IF(M165&gt;0,N165*100/M165,0)</f>
        <v>78.334778837814397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18064</v>
      </c>
      <c r="O167" s="93">
        <f t="shared" ca="1" si="85"/>
        <v>78.334778837814397</v>
      </c>
      <c r="P167" s="93">
        <f t="shared" ca="1" si="86"/>
        <v>78.334778837814397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18064</v>
      </c>
      <c r="O168" s="497">
        <f t="shared" ca="1" si="85"/>
        <v>78.334778837814397</v>
      </c>
      <c r="P168" s="497">
        <f t="shared" ca="1" si="86"/>
        <v>78.334778837814397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IFERROR(__xludf.DUMMYFUNCTION("IMPORTRANGE(""https://docs.google.com/spreadsheets/d/1MeEWN-I1oV_STSDYn1IFDPWt_1FKiwhDph83XaGc0o0/edit?usp=sharing"",""งบพรบ!CJ37"")"),23060)</f>
        <v>23060</v>
      </c>
      <c r="N170" s="93">
        <f ca="1">IFERROR(__xludf.DUMMYFUNCTION("IMPORTRANGE(""https://docs.google.com/spreadsheets/d/1MeEWN-I1oV_STSDYn1IFDPWt_1FKiwhDph83XaGc0o0/edit?usp=sharing"",""งบพรบ!CL37"")"),18064)</f>
        <v>18064</v>
      </c>
      <c r="O170" s="93">
        <f t="shared" ca="1" si="85"/>
        <v>78.334778837814397</v>
      </c>
      <c r="P170" s="93">
        <f t="shared" ca="1" si="86"/>
        <v>78.334778837814397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213500</v>
      </c>
      <c r="N181" s="155">
        <f t="shared" ca="1" si="92"/>
        <v>97205</v>
      </c>
      <c r="O181" s="155">
        <f t="shared" ref="O181:O189" ca="1" si="93">IF(L181&gt;0,N181*100/L181,0)</f>
        <v>72.541044776119406</v>
      </c>
      <c r="P181" s="155">
        <f t="shared" ref="P181:P189" ca="1" si="94">IF(M181&gt;0,N181*100/M181,0)</f>
        <v>45.529274004683842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134000</v>
      </c>
      <c r="M183" s="93">
        <f t="shared" ca="1" si="95"/>
        <v>213500</v>
      </c>
      <c r="N183" s="93">
        <f t="shared" ca="1" si="95"/>
        <v>97205</v>
      </c>
      <c r="O183" s="93">
        <f t="shared" ca="1" si="93"/>
        <v>72.541044776119406</v>
      </c>
      <c r="P183" s="93">
        <f t="shared" ca="1" si="94"/>
        <v>45.529274004683842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213500</v>
      </c>
      <c r="N184" s="497">
        <f t="shared" ca="1" si="96"/>
        <v>97205</v>
      </c>
      <c r="O184" s="497">
        <f t="shared" ca="1" si="93"/>
        <v>72.541044776119406</v>
      </c>
      <c r="P184" s="497">
        <f t="shared" ca="1" si="94"/>
        <v>45.529274004683842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IFERROR(__xludf.DUMMYFUNCTION("IMPORTRANGE(""https://docs.google.com/spreadsheets/d/1MeEWN-I1oV_STSDYn1IFDPWt_1FKiwhDph83XaGc0o0/edit?usp=sharing"",""งบพรบ!CT37"")"),213500)</f>
        <v>213500</v>
      </c>
      <c r="N186" s="93">
        <f ca="1">IFERROR(__xludf.DUMMYFUNCTION("IMPORTRANGE(""https://docs.google.com/spreadsheets/d/1MeEWN-I1oV_STSDYn1IFDPWt_1FKiwhDph83XaGc0o0/edit?usp=sharing"",""งบพรบ!CV37"")"),97205)</f>
        <v>97205</v>
      </c>
      <c r="O186" s="93">
        <f t="shared" ca="1" si="93"/>
        <v>72.541044776119406</v>
      </c>
      <c r="P186" s="93">
        <f t="shared" ca="1" si="94"/>
        <v>45.529274004683842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18000</v>
      </c>
      <c r="O198" s="155">
        <f ca="1">IF(L198&gt;0,N198*100/L198,0)</f>
        <v>50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4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4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135500</v>
      </c>
      <c r="N261" s="155">
        <f t="shared" ca="1" si="116"/>
        <v>66726</v>
      </c>
      <c r="O261" s="155">
        <f t="shared" ref="O261:O269" ca="1" si="117">IF(L261&gt;0,N261*100/L261,0)</f>
        <v>37.592112676056338</v>
      </c>
      <c r="P261" s="155">
        <f t="shared" ref="P261:P269" ca="1" si="118">IF(M261&gt;0,N261*100/M261,0)</f>
        <v>49.244280442804431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177500</v>
      </c>
      <c r="M263" s="93">
        <f t="shared" ca="1" si="119"/>
        <v>135500</v>
      </c>
      <c r="N263" s="93">
        <f t="shared" ca="1" si="119"/>
        <v>66726</v>
      </c>
      <c r="O263" s="93">
        <f t="shared" ca="1" si="117"/>
        <v>37.592112676056338</v>
      </c>
      <c r="P263" s="93">
        <f t="shared" ca="1" si="118"/>
        <v>49.244280442804431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135500</v>
      </c>
      <c r="N264" s="497">
        <f t="shared" ca="1" si="120"/>
        <v>66726</v>
      </c>
      <c r="O264" s="497">
        <f t="shared" ca="1" si="117"/>
        <v>37.592112676056338</v>
      </c>
      <c r="P264" s="497">
        <f t="shared" ca="1" si="118"/>
        <v>49.244280442804431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IFERROR(__xludf.DUMMYFUNCTION("IMPORTRANGE(""https://docs.google.com/spreadsheets/d/1MeEWN-I1oV_STSDYn1IFDPWt_1FKiwhDph83XaGc0o0/edit?usp=sharing"",""งบพรบ!DD37"")"),135500)</f>
        <v>135500</v>
      </c>
      <c r="N266" s="93">
        <f ca="1">IFERROR(__xludf.DUMMYFUNCTION("IMPORTRANGE(""https://docs.google.com/spreadsheets/d/1MeEWN-I1oV_STSDYn1IFDPWt_1FKiwhDph83XaGc0o0/edit?usp=sharing"",""งบพรบ!DF37"")"),66726)</f>
        <v>66726</v>
      </c>
      <c r="O266" s="93">
        <f t="shared" ca="1" si="117"/>
        <v>37.592112676056338</v>
      </c>
      <c r="P266" s="93">
        <f t="shared" ca="1" si="118"/>
        <v>49.244280442804431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100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140100</v>
      </c>
      <c r="N277" s="155">
        <f t="shared" ca="1" si="125"/>
        <v>78583</v>
      </c>
      <c r="O277" s="155">
        <f t="shared" ref="O277:O285" ca="1" si="126">IF(L277&gt;0,N277*100/L277,0)</f>
        <v>39.586418820210568</v>
      </c>
      <c r="P277" s="155">
        <f t="shared" ref="P277:P285" ca="1" si="127">IF(M277&gt;0,N277*100/M277,0)</f>
        <v>56.090649536045682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198510</v>
      </c>
      <c r="M279" s="93">
        <f t="shared" ca="1" si="128"/>
        <v>140100</v>
      </c>
      <c r="N279" s="93">
        <f t="shared" ca="1" si="128"/>
        <v>78583</v>
      </c>
      <c r="O279" s="93">
        <f t="shared" ca="1" si="126"/>
        <v>39.586418820210568</v>
      </c>
      <c r="P279" s="93">
        <f t="shared" ca="1" si="127"/>
        <v>56.090649536045682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140100</v>
      </c>
      <c r="N280" s="497">
        <f t="shared" ca="1" si="129"/>
        <v>78583</v>
      </c>
      <c r="O280" s="497">
        <f t="shared" ca="1" si="126"/>
        <v>39.586418820210568</v>
      </c>
      <c r="P280" s="497">
        <f t="shared" ca="1" si="127"/>
        <v>56.090649536045682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IFERROR(__xludf.DUMMYFUNCTION("IMPORTRANGE(""https://docs.google.com/spreadsheets/d/1MeEWN-I1oV_STSDYn1IFDPWt_1FKiwhDph83XaGc0o0/edit?usp=sharing"",""งบพรบ!DN37"")"),140100)</f>
        <v>140100</v>
      </c>
      <c r="N282" s="93">
        <f ca="1">IFERROR(__xludf.DUMMYFUNCTION("IMPORTRANGE(""https://docs.google.com/spreadsheets/d/1MeEWN-I1oV_STSDYn1IFDPWt_1FKiwhDph83XaGc0o0/edit?usp=sharing"",""งบพรบ!DP37"")"),78583)</f>
        <v>78583</v>
      </c>
      <c r="O282" s="93">
        <f t="shared" ca="1" si="126"/>
        <v>39.586418820210568</v>
      </c>
      <c r="P282" s="93">
        <f t="shared" ca="1" si="127"/>
        <v>56.090649536045682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IFERROR(__xludf.DUMMYFUNCTION("IMPORTRANGE(""https://docs.google.com/spreadsheets/d/1QqKyyYR6Q21VydFLVH3TRQUabQu_ym0Zz7PgGX0-kHA/edit?usp=sharing"",""แผน!EB37"")"),10)</f>
        <v>10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1157</v>
      </c>
      <c r="K327" s="445">
        <f ca="1">IF(I327&gt;0,J327*100/I327,0)</f>
        <v>32.138888888888886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89500</v>
      </c>
      <c r="N328" s="155">
        <f t="shared" ca="1" si="149"/>
        <v>48346</v>
      </c>
      <c r="O328" s="155">
        <f t="shared" ref="O328:O336" ca="1" si="150">IF(L328&gt;0,N328*100/L328,0)</f>
        <v>27.008938547486032</v>
      </c>
      <c r="P328" s="155">
        <f t="shared" ref="P328:P336" ca="1" si="151">IF(M328&gt;0,N328*100/M328,0)</f>
        <v>54.017877094972064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179000</v>
      </c>
      <c r="M330" s="93">
        <f t="shared" ca="1" si="152"/>
        <v>89500</v>
      </c>
      <c r="N330" s="93">
        <f t="shared" ca="1" si="152"/>
        <v>48346</v>
      </c>
      <c r="O330" s="93">
        <f t="shared" ca="1" si="150"/>
        <v>27.008938547486032</v>
      </c>
      <c r="P330" s="93">
        <f t="shared" ca="1" si="151"/>
        <v>54.017877094972064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89500</v>
      </c>
      <c r="N331" s="497">
        <f t="shared" ca="1" si="153"/>
        <v>48346</v>
      </c>
      <c r="O331" s="497">
        <f t="shared" ca="1" si="150"/>
        <v>27.008938547486032</v>
      </c>
      <c r="P331" s="497">
        <f t="shared" ca="1" si="151"/>
        <v>54.017877094972064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IFERROR(__xludf.DUMMYFUNCTION("IMPORTRANGE(""https://docs.google.com/spreadsheets/d/1MeEWN-I1oV_STSDYn1IFDPWt_1FKiwhDph83XaGc0o0/edit?usp=sharing"",""งบพรบ!ER37"")"),89500)</f>
        <v>89500</v>
      </c>
      <c r="N333" s="93">
        <f ca="1">IFERROR(__xludf.DUMMYFUNCTION("IMPORTRANGE(""https://docs.google.com/spreadsheets/d/1MeEWN-I1oV_STSDYn1IFDPWt_1FKiwhDph83XaGc0o0/edit?usp=sharing"",""งบพรบ!ET37"")"),48346)</f>
        <v>48346</v>
      </c>
      <c r="O333" s="93">
        <f t="shared" ca="1" si="150"/>
        <v>27.008938547486032</v>
      </c>
      <c r="P333" s="93">
        <f t="shared" ca="1" si="151"/>
        <v>54.017877094972064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IFERROR(__xludf.DUMMYFUNCTION("IMPORTRANGE(""https://docs.google.com/spreadsheets/d/1kVcqe37tkHyjCSG3S0O1AXqVkqjo8mSIZil3BcpIysc/edit?usp=sharing"",""ศูนย์!D37"")"),1118)</f>
        <v>1118</v>
      </c>
      <c r="K338" s="497">
        <f ca="1">IF(I338&gt;0,J338*100/I338,0)</f>
        <v>31.055555555555557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IFERROR(__xludf.DUMMYFUNCTION("IMPORTRANGE(""https://docs.google.com/spreadsheets/d/1kVcqe37tkHyjCSG3S0O1AXqVkqjo8mSIZil3BcpIysc/edit?usp=sharing"",""ศูนย์!E37"")"),1)</f>
        <v>1</v>
      </c>
      <c r="K340" s="497">
        <f ca="1">IF(I340&gt;0,J340*100/I340,0)</f>
        <v>12.5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IFERROR(__xludf.DUMMYFUNCTION("IMPORTRANGE(""https://docs.google.com/spreadsheets/d/1kVcqe37tkHyjCSG3S0O1AXqVkqjo8mSIZil3BcpIysc/edit?usp=sharing"",""ศูนย์!F37"")"),39)</f>
        <v>39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964894</v>
      </c>
      <c r="N345" s="155">
        <f t="shared" ca="1" si="155"/>
        <v>526275</v>
      </c>
      <c r="O345" s="155">
        <f t="shared" ref="O345:O353" ca="1" si="156">IF(L345&gt;0,N345*100/L345,0)</f>
        <v>35.928113052976514</v>
      </c>
      <c r="P345" s="155">
        <f t="shared" ref="P345:P353" ca="1" si="157">IF(M345&gt;0,N345*100/M345,0)</f>
        <v>54.542260600646287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1464800</v>
      </c>
      <c r="M347" s="93">
        <f t="shared" ca="1" si="158"/>
        <v>964894</v>
      </c>
      <c r="N347" s="93">
        <f t="shared" ca="1" si="158"/>
        <v>526275</v>
      </c>
      <c r="O347" s="93">
        <f t="shared" ca="1" si="156"/>
        <v>35.928113052976514</v>
      </c>
      <c r="P347" s="93">
        <f t="shared" ca="1" si="157"/>
        <v>54.542260600646287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829294</v>
      </c>
      <c r="N348" s="497">
        <f t="shared" ca="1" si="159"/>
        <v>390675</v>
      </c>
      <c r="O348" s="497">
        <f t="shared" ca="1" si="156"/>
        <v>29.391739392115557</v>
      </c>
      <c r="P348" s="497">
        <f t="shared" ca="1" si="157"/>
        <v>47.109348433727966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IFERROR(__xludf.DUMMYFUNCTION("IMPORTRANGE(""https://docs.google.com/spreadsheets/d/1MeEWN-I1oV_STSDYn1IFDPWt_1FKiwhDph83XaGc0o0/edit?usp=sharing"",""งบพรบ!FB37"")"),829294)</f>
        <v>829294</v>
      </c>
      <c r="N350" s="93">
        <f ca="1">IFERROR(__xludf.DUMMYFUNCTION("IMPORTRANGE(""https://docs.google.com/spreadsheets/d/1MeEWN-I1oV_STSDYn1IFDPWt_1FKiwhDph83XaGc0o0/edit?usp=sharing"",""งบพรบ!FD37"")"),390675)</f>
        <v>390675</v>
      </c>
      <c r="O350" s="93">
        <f t="shared" ca="1" si="156"/>
        <v>29.391739392115557</v>
      </c>
      <c r="P350" s="93">
        <f t="shared" ca="1" si="157"/>
        <v>47.109348433727966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IFERROR(__xludf.DUMMYFUNCTION("IMPORTRANGE(""https://docs.google.com/spreadsheets/d/1XWAQStnk-4SwqDmLtmXYiTMKHgktTP8We1SCoS47DrQ/edit?usp=sharing"",""จัดที่ดิน!W37"")"),176)</f>
        <v>176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IFERROR(__xludf.DUMMYFUNCTION("IMPORTRANGE(""https://docs.google.com/spreadsheets/d/1XWAQStnk-4SwqDmLtmXYiTMKHgktTP8We1SCoS47DrQ/edit?usp=sharing"",""จัดที่ดิน!X37"")"),2040.05)</f>
        <v>2040.05</v>
      </c>
      <c r="K359" s="497">
        <f t="shared" ca="1" si="161"/>
        <v>32.381746031746033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IFERROR(__xludf.DUMMYFUNCTION("IMPORTRANGE(""https://docs.google.com/spreadsheets/d/1XWAQStnk-4SwqDmLtmXYiTMKHgktTP8We1SCoS47DrQ/edit?usp=sharing"",""จัดที่ดิน!Y37"")"),0)</f>
        <v>0</v>
      </c>
      <c r="K360" s="497">
        <f t="shared" ca="1" si="161"/>
        <v>0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IFERROR(__xludf.DUMMYFUNCTION("IMPORTRANGE(""https://docs.google.com/spreadsheets/d/1XWAQStnk-4SwqDmLtmXYiTMKHgktTP8We1SCoS47DrQ/edit?usp=sharing"",""จัดที่ดิน!Z37"")"),0)</f>
        <v>0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12</v>
      </c>
      <c r="K364" s="479">
        <f t="shared" ca="1" si="161"/>
        <v>0.78947368421052633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IFERROR(__xludf.DUMMYFUNCTION("IMPORTRANGE(""https://docs.google.com/spreadsheets/d/1XWAQStnk-4SwqDmLtmXYiTMKHgktTP8We1SCoS47DrQ/edit?usp=sharing"",""จัดที่ดิน!E37"")"),9)</f>
        <v>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IFERROR(__xludf.DUMMYFUNCTION("IMPORTRANGE(""https://docs.google.com/spreadsheets/d/1XWAQStnk-4SwqDmLtmXYiTMKHgktTP8We1SCoS47DrQ/edit?usp=sharing"",""จัดที่ดิน!F37"")"),94.88)</f>
        <v>94.88</v>
      </c>
      <c r="K369" s="497">
        <f t="shared" ca="1" si="163"/>
        <v>31.626666666666665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IFERROR(__xludf.DUMMYFUNCTION("IMPORTRANGE(""https://docs.google.com/spreadsheets/d/1XWAQStnk-4SwqDmLtmXYiTMKHgktTP8We1SCoS47DrQ/edit?usp=sharing"",""จัดที่ดิน!G37"")"),0)</f>
        <v>0</v>
      </c>
      <c r="K370" s="497">
        <f t="shared" ca="1" si="163"/>
        <v>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IFERROR(__xludf.DUMMYFUNCTION("IMPORTRANGE(""https://docs.google.com/spreadsheets/d/1XWAQStnk-4SwqDmLtmXYiTMKHgktTP8We1SCoS47DrQ/edit?usp=sharing"",""จัดที่ดิน!H37"")"),0)</f>
        <v>0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12</v>
      </c>
      <c r="K374" s="491">
        <f t="shared" ca="1" si="163"/>
        <v>0.8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IFERROR(__xludf.DUMMYFUNCTION("IMPORTRANGE(""https://docs.google.com/spreadsheets/d/1XWAQStnk-4SwqDmLtmXYiTMKHgktTP8We1SCoS47DrQ/edit?usp=sharing"",""จัดที่ดิน!AH37"")"),167)</f>
        <v>167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IFERROR(__xludf.DUMMYFUNCTION("IMPORTRANGE(""https://docs.google.com/spreadsheets/d/1XWAQStnk-4SwqDmLtmXYiTMKHgktTP8We1SCoS47DrQ/edit?usp=sharing"",""จัดที่ดิน!AI37"")"),1945.17)</f>
        <v>1945.17</v>
      </c>
      <c r="K378" s="497">
        <f t="shared" ca="1" si="164"/>
        <v>32.419499999999999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IFERROR(__xludf.DUMMYFUNCTION("IMPORTRANGE(""https://docs.google.com/spreadsheets/d/1XWAQStnk-4SwqDmLtmXYiTMKHgktTP8We1SCoS47DrQ/edit?usp=sharing"",""จัดที่ดิน!AJ37"")"),305)</f>
        <v>305</v>
      </c>
      <c r="K379" s="497">
        <f t="shared" ca="1" si="164"/>
        <v>20.333333333333332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IFERROR(__xludf.DUMMYFUNCTION("IMPORTRANGE(""https://docs.google.com/spreadsheets/d/1XWAQStnk-4SwqDmLtmXYiTMKHgktTP8We1SCoS47DrQ/edit?usp=sharing"",""จัดที่ดิน!AK37"")"),4997.67)</f>
        <v>4997.67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IFERROR(__xludf.DUMMYFUNCTION("IMPORTRANGE(""https://docs.google.com/spreadsheets/d/1XWAQStnk-4SwqDmLtmXYiTMKHgktTP8We1SCoS47DrQ/edit?usp=sharing"",""จัดที่ดิน!AL37"")"),12)</f>
        <v>12</v>
      </c>
      <c r="K381" s="497">
        <f t="shared" ca="1" si="164"/>
        <v>0.8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IFERROR(__xludf.DUMMYFUNCTION("IMPORTRANGE(""https://docs.google.com/spreadsheets/d/1XWAQStnk-4SwqDmLtmXYiTMKHgktTP8We1SCoS47DrQ/edit?usp=sharing"",""จัดที่ดิน!AM37"")"),265.86)</f>
        <v>265.86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IFERROR(__xludf.DUMMYFUNCTION("IMPORTRANGE(""https://docs.google.com/spreadsheets/d/1QqKyyYR6Q21VydFLVH3TRQUabQu_ym0Zz7PgGX0-kHA/edit?usp=sharing"",""แผน!EW37"")"),186)</f>
        <v>186</v>
      </c>
      <c r="J385" s="500">
        <f ca="1">IFERROR(__xludf.DUMMYFUNCTION("IMPORTRANGE(""https://docs.google.com/spreadsheets/d/1XWAQStnk-4SwqDmLtmXYiTMKHgktTP8We1SCoS47DrQ/edit?usp=sharing"",""จัดที่ดิน!AP37"")"),0)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2803355</v>
      </c>
      <c r="M414" s="548">
        <f t="shared" si="181"/>
        <v>0</v>
      </c>
      <c r="N414" s="548">
        <f t="shared" si="181"/>
        <v>440965</v>
      </c>
      <c r="O414" s="548">
        <f ca="1">IF(L414&gt;0,N414*100/L414,0)</f>
        <v>15.729902206463327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15</v>
      </c>
      <c r="J417" s="564">
        <f t="shared" ca="1" si="182"/>
        <v>15</v>
      </c>
      <c r="K417" s="565">
        <f t="shared" ref="K417:K418" ca="1" si="183">IF(I417&gt;0,J417*100/I417,0)</f>
        <v>100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1</v>
      </c>
      <c r="K418" s="565">
        <f t="shared" ca="1" si="183"/>
        <v>100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si="184"/>
        <v>0</v>
      </c>
      <c r="N419" s="155">
        <f t="shared" si="184"/>
        <v>18950</v>
      </c>
      <c r="O419" s="155">
        <f t="shared" ref="O419:O424" ca="1" si="185">IF(L419&gt;0,N419*100/L419,0)</f>
        <v>28.385260635110846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66760</v>
      </c>
      <c r="M421" s="93">
        <f t="shared" si="187"/>
        <v>0</v>
      </c>
      <c r="N421" s="93">
        <f t="shared" si="187"/>
        <v>18950</v>
      </c>
      <c r="O421" s="93">
        <f t="shared" ca="1" si="185"/>
        <v>28.385260635110846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si="188"/>
        <v>0</v>
      </c>
      <c r="N422" s="497">
        <f t="shared" si="188"/>
        <v>18950</v>
      </c>
      <c r="O422" s="497">
        <f t="shared" ca="1" si="185"/>
        <v>28.385260635110846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v>0</v>
      </c>
      <c r="N424" s="93">
        <f>N425+N426+N427+N428</f>
        <v>18950</v>
      </c>
      <c r="O424" s="93">
        <f t="shared" ca="1" si="185"/>
        <v>28.385260635110846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18950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15</v>
      </c>
      <c r="J433" s="675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IFERROR(__xludf.DUMMYFUNCTION("IMPORTRANGE(""https://docs.google.com/spreadsheets/d/1QqKyyYR6Q21VydFLVH3TRQUabQu_ym0Zz7PgGX0-kHA/edit?usp=sharing"",""แผน!FC37"")"),15)</f>
        <v>15</v>
      </c>
      <c r="J435" s="578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IFERROR(__xludf.DUMMYFUNCTION("IMPORTRANGE(""https://docs.google.com/spreadsheets/d/1QqKyyYR6Q21VydFLVH3TRQUabQu_ym0Zz7PgGX0-kHA/edit?usp=sharing"",""แผน!FD37"")"),0)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IFERROR(__xludf.DUMMYFUNCTION("IMPORTRANGE(""https://docs.google.com/spreadsheets/d/1QqKyyYR6Q21VydFLVH3TRQUabQu_ym0Zz7PgGX0-kHA/edit?usp=sharing"",""แผน!FF37"")"),15)</f>
        <v>15</v>
      </c>
      <c r="J439" s="578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100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150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si="197"/>
        <v>0</v>
      </c>
      <c r="N444" s="195">
        <f t="shared" si="197"/>
        <v>36886</v>
      </c>
      <c r="O444" s="195">
        <f t="shared" ref="O444:O449" ca="1" si="198">IF(L444&gt;0,N444*100/L444,0)</f>
        <v>7.3291209664600219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503280</v>
      </c>
      <c r="M446" s="93">
        <f t="shared" si="200"/>
        <v>0</v>
      </c>
      <c r="N446" s="93">
        <f t="shared" si="200"/>
        <v>36886</v>
      </c>
      <c r="O446" s="93">
        <f t="shared" ca="1" si="198"/>
        <v>7.3291209664600219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si="201"/>
        <v>0</v>
      </c>
      <c r="N447" s="497">
        <f t="shared" si="201"/>
        <v>36886</v>
      </c>
      <c r="O447" s="497">
        <f t="shared" ca="1" si="198"/>
        <v>7.3291209664600219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v>0</v>
      </c>
      <c r="N449" s="93">
        <f>N450+N451+N452+N453</f>
        <v>36886</v>
      </c>
      <c r="O449" s="93">
        <f t="shared" ca="1" si="198"/>
        <v>7.3291209664600219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36886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IFERROR(__xludf.DUMMYFUNCTION("IMPORTRANGE(""https://docs.google.com/spreadsheets/d/1QqKyyYR6Q21VydFLVH3TRQUabQu_ym0Zz7PgGX0-kHA/edit?usp=sharing"",""แผน!FX37"")"),131)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IFERROR(__xludf.DUMMYFUNCTION("IMPORTRANGE(""https://docs.google.com/spreadsheets/d/1QqKyyYR6Q21VydFLVH3TRQUabQu_ym0Zz7PgGX0-kHA/edit?usp=sharing"",""แผน!FW37"")"),1300)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si="206"/>
        <v>0</v>
      </c>
      <c r="N467" s="195">
        <f t="shared" si="206"/>
        <v>171753</v>
      </c>
      <c r="O467" s="195">
        <f t="shared" ref="O467:O472" ca="1" si="207">IF(L467&gt;0,N467*100/L467,0)</f>
        <v>14.635486878141142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1173538</v>
      </c>
      <c r="M469" s="93">
        <f t="shared" si="209"/>
        <v>0</v>
      </c>
      <c r="N469" s="93">
        <f t="shared" si="209"/>
        <v>171753</v>
      </c>
      <c r="O469" s="93">
        <f t="shared" ca="1" si="207"/>
        <v>14.635486878141142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si="210"/>
        <v>0</v>
      </c>
      <c r="N470" s="497">
        <f t="shared" si="210"/>
        <v>171753</v>
      </c>
      <c r="O470" s="497">
        <f t="shared" ca="1" si="207"/>
        <v>14.635486878141142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v>0</v>
      </c>
      <c r="N472" s="93">
        <f>N473+N474+N475+N476</f>
        <v>171753</v>
      </c>
      <c r="O472" s="93">
        <f t="shared" ca="1" si="207"/>
        <v>14.635486878141142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121603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f>143000-104840</f>
        <v>38160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11990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IFERROR(__xludf.DUMMYFUNCTION("IMPORTRANGE(""https://docs.google.com/spreadsheets/d/1QqKyyYR6Q21VydFLVH3TRQUabQu_ym0Zz7PgGX0-kHA/edit?usp=sharing"",""แผน!GU37"")"),0)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90157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487547</v>
      </c>
      <c r="M544" s="155">
        <f t="shared" si="236"/>
        <v>0</v>
      </c>
      <c r="N544" s="155">
        <f t="shared" si="236"/>
        <v>134156</v>
      </c>
      <c r="O544" s="155">
        <f t="shared" ref="O544:O549" ca="1" si="237">IF(L544&gt;0,N544*100/L544,0)</f>
        <v>27.516526611793324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487547</v>
      </c>
      <c r="M546" s="93">
        <f t="shared" si="240"/>
        <v>0</v>
      </c>
      <c r="N546" s="93">
        <f t="shared" si="240"/>
        <v>134156</v>
      </c>
      <c r="O546" s="93">
        <f t="shared" ca="1" si="237"/>
        <v>27.516526611793324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487547</v>
      </c>
      <c r="M547" s="497">
        <f t="shared" si="241"/>
        <v>0</v>
      </c>
      <c r="N547" s="497">
        <f t="shared" si="241"/>
        <v>134156</v>
      </c>
      <c r="O547" s="497">
        <f t="shared" ca="1" si="237"/>
        <v>27.516526611793324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IFERROR(__xludf.DUMMYFUNCTION("IMPORTRANGE(""https://docs.google.com/spreadsheets/d/1QqKyyYR6Q21VydFLVH3TRQUabQu_ym0Zz7PgGX0-kHA/edit?usp=sharing"",""แผน!HB37"")"),487547)</f>
        <v>487547</v>
      </c>
      <c r="M549" s="93">
        <v>0</v>
      </c>
      <c r="N549" s="93">
        <f>N550+N551+N552+N553+N554</f>
        <v>134156</v>
      </c>
      <c r="O549" s="93">
        <f t="shared" ca="1" si="237"/>
        <v>27.516526611793324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f>12290</f>
        <v>12290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f>143000-104840</f>
        <v>38160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f>7600+52710+2280+6625+990+2841+2520+2380+5760</f>
        <v>83706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90157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5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5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6390.89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IFERROR(__xludf.DUMMYFUNCTION("IMPORTRANGE(""https://docs.google.com/spreadsheets/d/1QqKyyYR6Q21VydFLVH3TRQUabQu_ym0Zz7PgGX0-kHA/edit?usp=sharing"",""แผน!HL37"")"),157)</f>
        <v>157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IFERROR(__xludf.DUMMYFUNCTION("IMPORTRANGE(""https://docs.google.com/spreadsheets/d/1QqKyyYR6Q21VydFLVH3TRQUabQu_ym0Zz7PgGX0-kHA/edit?usp=sharing"",""แผน!HK37"")"),9)</f>
        <v>9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100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si="263"/>
        <v>0</v>
      </c>
      <c r="N629" s="195">
        <f t="shared" si="263"/>
        <v>79220</v>
      </c>
      <c r="O629" s="195">
        <f t="shared" ref="O629:O634" ca="1" si="264">IF(L629&gt;0,N629*100/L629,0)</f>
        <v>22.109346655131031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358310</v>
      </c>
      <c r="M631" s="93">
        <f t="shared" si="266"/>
        <v>0</v>
      </c>
      <c r="N631" s="93">
        <f t="shared" si="266"/>
        <v>79220</v>
      </c>
      <c r="O631" s="93">
        <f t="shared" ca="1" si="264"/>
        <v>22.109346655131031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si="267"/>
        <v>0</v>
      </c>
      <c r="N632" s="497">
        <f t="shared" si="267"/>
        <v>79220</v>
      </c>
      <c r="O632" s="497">
        <f t="shared" ca="1" si="264"/>
        <v>22.109346655131031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v>0</v>
      </c>
      <c r="N634" s="93">
        <f>N635+N636+N637+N638</f>
        <v>79220</v>
      </c>
      <c r="O634" s="93">
        <f t="shared" ca="1" si="264"/>
        <v>22.109346655131031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f>1320+15000</f>
        <v>16320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36900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f>26000</f>
        <v>26000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IFERROR(__xludf.DUMMYFUNCTION("IMPORTRANGE(""https://docs.google.com/spreadsheets/d/1XWAQStnk-4SwqDmLtmXYiTMKHgktTP8We1SCoS47DrQ/edit?usp=sharing"",""จัดที่ดิน!AS37"")"),79)</f>
        <v>79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IFERROR(__xludf.DUMMYFUNCTION("IMPORTRANGE(""https://docs.google.com/spreadsheets/d/1XWAQStnk-4SwqDmLtmXYiTMKHgktTP8We1SCoS47DrQ/edit?usp=sharing"",""จัดที่ดิน!AT37"")"),39.91)</f>
        <v>39.909999999999997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IFERROR(__xludf.DUMMYFUNCTION("IMPORTRANGE(""https://docs.google.com/spreadsheets/d/1XWAQStnk-4SwqDmLtmXYiTMKHgktTP8We1SCoS47DrQ/edit?usp=sharing"",""จัดที่ดิน!AZ37"")"),0)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IFERROR(__xludf.DUMMYFUNCTION("IMPORTRANGE(""https://docs.google.com/spreadsheets/d/1QqKyyYR6Q21VydFLVH3TRQUabQu_ym0Zz7PgGX0-kHA/edit?usp=sharing"",""แผน!IA37"")"),0)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IFERROR(__xludf.DUMMYFUNCTION("IMPORTRANGE(""https://docs.google.com/spreadsheets/d/1QqKyyYR6Q21VydFLVH3TRQUabQu_ym0Zz7PgGX0-kHA/edit?usp=sharing"",""แผน!IB37"")"),0)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IFERROR(__xludf.DUMMYFUNCTION("IMPORTRANGE(""https://docs.google.com/spreadsheets/d/1QqKyyYR6Q21VydFLVH3TRQUabQu_ym0Zz7PgGX0-kHA/edit?usp=sharing"",""แผน!IE37"")"),0)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IFERROR(__xludf.DUMMYFUNCTION("IMPORTRANGE(""https://docs.google.com/spreadsheets/d/1QqKyyYR6Q21VydFLVH3TRQUabQu_ym0Zz7PgGX0-kHA/edit?usp=sharing"",""แผน!IH37"")"),0)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IFERROR(__xludf.DUMMYFUNCTION("IMPORTRANGE(""https://docs.google.com/spreadsheets/d/1QqKyyYR6Q21VydFLVH3TRQUabQu_ym0Zz7PgGX0-kHA/edit?usp=sharing"",""แผน!IJ37"")"),0)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IFERROR(__xludf.DUMMYFUNCTION("IMPORTRANGE(""https://docs.google.com/spreadsheets/d/1QqKyyYR6Q21VydFLVH3TRQUabQu_ym0Zz7PgGX0-kHA/edit?usp=sharing"",""แผน!IK37"")"),0)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IFERROR(__xludf.DUMMYFUNCTION("IMPORTRANGE(""https://docs.google.com/spreadsheets/d/1QqKyyYR6Q21VydFLVH3TRQUabQu_ym0Zz7PgGX0-kHA/edit?usp=sharing"",""แผน!IP37"")"),0)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00" t="s">
        <v>46</v>
      </c>
      <c r="I785" s="801">
        <f t="shared" ref="I785:J785" ca="1" si="318">I801+I803</f>
        <v>3000</v>
      </c>
      <c r="J785" s="801">
        <f t="shared" ca="1" si="318"/>
        <v>0</v>
      </c>
      <c r="K785" s="802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804" t="s">
        <v>12</v>
      </c>
      <c r="I786" s="805"/>
      <c r="J786" s="805"/>
      <c r="K786" s="806"/>
      <c r="L786" s="195">
        <f t="shared" ref="L786:N786" ca="1" si="319">L787+L788</f>
        <v>213920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807" t="s">
        <v>12</v>
      </c>
      <c r="I787" s="805"/>
      <c r="J787" s="805"/>
      <c r="K787" s="806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807" t="s">
        <v>12</v>
      </c>
      <c r="I788" s="805"/>
      <c r="J788" s="805"/>
      <c r="K788" s="806"/>
      <c r="L788" s="93">
        <f t="shared" ca="1" si="322"/>
        <v>213920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>
      <c r="A789" s="591"/>
      <c r="B789" s="569"/>
      <c r="C789" s="569"/>
      <c r="D789" s="600" t="s">
        <v>20</v>
      </c>
      <c r="E789" s="757"/>
      <c r="F789" s="757"/>
      <c r="G789" s="189"/>
      <c r="H789" s="808" t="s">
        <v>12</v>
      </c>
      <c r="I789" s="809"/>
      <c r="J789" s="809"/>
      <c r="K789" s="810"/>
      <c r="L789" s="497">
        <f t="shared" ref="L789:N789" ca="1" si="323">L790+L791</f>
        <v>213920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807" t="s">
        <v>12</v>
      </c>
      <c r="I790" s="805"/>
      <c r="J790" s="805"/>
      <c r="K790" s="806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807" t="s">
        <v>12</v>
      </c>
      <c r="I791" s="805"/>
      <c r="J791" s="805"/>
      <c r="K791" s="806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>
      <c r="A792" s="568"/>
      <c r="B792" s="569"/>
      <c r="C792" s="757"/>
      <c r="D792" s="757"/>
      <c r="E792" s="757"/>
      <c r="F792" s="757" t="s">
        <v>186</v>
      </c>
      <c r="G792" s="189"/>
      <c r="H792" s="808" t="s">
        <v>12</v>
      </c>
      <c r="I792" s="805"/>
      <c r="J792" s="805"/>
      <c r="K792" s="806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>
      <c r="A793" s="568"/>
      <c r="B793" s="569"/>
      <c r="C793" s="757"/>
      <c r="D793" s="757"/>
      <c r="E793" s="757"/>
      <c r="F793" s="757" t="s">
        <v>187</v>
      </c>
      <c r="G793" s="189"/>
      <c r="H793" s="808" t="s">
        <v>12</v>
      </c>
      <c r="I793" s="805"/>
      <c r="J793" s="805"/>
      <c r="K793" s="806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>
      <c r="A794" s="568"/>
      <c r="B794" s="569"/>
      <c r="C794" s="757"/>
      <c r="D794" s="757"/>
      <c r="E794" s="757"/>
      <c r="F794" s="757" t="s">
        <v>188</v>
      </c>
      <c r="G794" s="189"/>
      <c r="H794" s="808" t="s">
        <v>12</v>
      </c>
      <c r="I794" s="805"/>
      <c r="J794" s="805"/>
      <c r="K794" s="806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>
      <c r="A795" s="568"/>
      <c r="B795" s="569"/>
      <c r="C795" s="757"/>
      <c r="D795" s="757"/>
      <c r="E795" s="757"/>
      <c r="F795" s="757" t="s">
        <v>189</v>
      </c>
      <c r="G795" s="189"/>
      <c r="H795" s="808" t="s">
        <v>12</v>
      </c>
      <c r="I795" s="805"/>
      <c r="J795" s="805"/>
      <c r="K795" s="806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>
      <c r="A796" s="591"/>
      <c r="B796" s="569"/>
      <c r="C796" s="757"/>
      <c r="D796" s="600" t="s">
        <v>21</v>
      </c>
      <c r="E796" s="757"/>
      <c r="F796" s="757"/>
      <c r="G796" s="189"/>
      <c r="H796" s="811" t="s">
        <v>12</v>
      </c>
      <c r="I796" s="809"/>
      <c r="J796" s="809"/>
      <c r="K796" s="810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807" t="s">
        <v>12</v>
      </c>
      <c r="I797" s="809"/>
      <c r="J797" s="809"/>
      <c r="K797" s="810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812" t="s">
        <v>12</v>
      </c>
      <c r="I798" s="809"/>
      <c r="J798" s="809"/>
      <c r="K798" s="810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13"/>
      <c r="I799" s="809"/>
      <c r="J799" s="809"/>
      <c r="K799" s="810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>
      <c r="A800" s="602"/>
      <c r="B800" s="612"/>
      <c r="C800" s="612"/>
      <c r="D800" s="612"/>
      <c r="E800" s="620"/>
      <c r="F800" s="620" t="s">
        <v>320</v>
      </c>
      <c r="G800" s="756"/>
      <c r="H800" s="814" t="s">
        <v>34</v>
      </c>
      <c r="I800" s="809"/>
      <c r="J800" s="815">
        <f ca="1">IFERROR(__xludf.DUMMYFUNCTION("IMPORTRANGE(""https://docs.google.com/spreadsheets/d/1MaWodYyGHDf7siQLGxnXhG4mBNTNIuy296niS2xXulU/edit?usp=sharing"",""RTK!H37"")"),0)</f>
        <v>0</v>
      </c>
      <c r="K800" s="806"/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>
      <c r="A801" s="602"/>
      <c r="B801" s="612"/>
      <c r="C801" s="612"/>
      <c r="D801" s="612"/>
      <c r="E801" s="620"/>
      <c r="F801" s="620"/>
      <c r="G801" s="756"/>
      <c r="H801" s="808" t="s">
        <v>46</v>
      </c>
      <c r="I801" s="815">
        <f ca="1">IFERROR(__xludf.DUMMYFUNCTION("IMPORTRANGE(""https://docs.google.com/spreadsheets/d/1MaWodYyGHDf7siQLGxnXhG4mBNTNIuy296niS2xXulU/edit?usp=sharing"",""RTK!G37"")"),3000)</f>
        <v>3000</v>
      </c>
      <c r="J801" s="816">
        <f ca="1">IFERROR(__xludf.DUMMYFUNCTION("IMPORTRANGE(""https://docs.google.com/spreadsheets/d/1MaWodYyGHDf7siQLGxnXhG4mBNTNIuy296niS2xXulU/edit?usp=sharing"",""RTK!I37"")"),0)</f>
        <v>0</v>
      </c>
      <c r="K801" s="817">
        <f ca="1">IF(I801&gt;0,J801*100/I801,0)</f>
        <v>0</v>
      </c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>
      <c r="A802" s="608"/>
      <c r="B802" s="610"/>
      <c r="C802" s="610"/>
      <c r="D802" s="610"/>
      <c r="E802" s="714"/>
      <c r="F802" s="818" t="s">
        <v>321</v>
      </c>
      <c r="G802" s="366"/>
      <c r="H802" s="814" t="s">
        <v>34</v>
      </c>
      <c r="I802" s="809"/>
      <c r="J802" s="815">
        <f ca="1">IFERROR(__xludf.DUMMYFUNCTION("IMPORTRANGE(""https://docs.google.com/spreadsheets/d/1MaWodYyGHDf7siQLGxnXhG4mBNTNIuy296niS2xXulU/edit?usp=sharing"",""RTK!L37"")"),0)</f>
        <v>0</v>
      </c>
      <c r="K802" s="806"/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>
      <c r="A803" s="608"/>
      <c r="B803" s="610"/>
      <c r="C803" s="610"/>
      <c r="D803" s="610"/>
      <c r="E803" s="714"/>
      <c r="F803" s="714"/>
      <c r="G803" s="366"/>
      <c r="H803" s="814" t="s">
        <v>46</v>
      </c>
      <c r="I803" s="815">
        <f ca="1">IFERROR(__xludf.DUMMYFUNCTION("IMPORTRANGE(""https://docs.google.com/spreadsheets/d/1MaWodYyGHDf7siQLGxnXhG4mBNTNIuy296niS2xXulU/edit?usp=sharing"",""RTK!K37"")"),0)</f>
        <v>0</v>
      </c>
      <c r="J803" s="816">
        <f ca="1">IFERROR(__xludf.DUMMYFUNCTION("IMPORTRANGE(""https://docs.google.com/spreadsheets/d/1MaWodYyGHDf7siQLGxnXhG4mBNTNIuy296niS2xXulU/edit?usp=sharing"",""RTK!M37"")"),0)</f>
        <v>0</v>
      </c>
      <c r="K803" s="817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 t="shared" si="327"/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8">L806+L807</f>
        <v>0</v>
      </c>
      <c r="M805" s="641">
        <f t="shared" si="328"/>
        <v>0</v>
      </c>
      <c r="N805" s="641">
        <f t="shared" si="328"/>
        <v>0</v>
      </c>
      <c r="O805" s="641">
        <f t="shared" ref="O805:O810" si="329">IF(L805&gt;0,N805*100/L805,0)</f>
        <v>0</v>
      </c>
      <c r="P805" s="641">
        <f t="shared" ref="P805:P810" si="330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2">L809+L810</f>
        <v>0</v>
      </c>
      <c r="M808" s="641">
        <f t="shared" si="332"/>
        <v>0</v>
      </c>
      <c r="N808" s="641">
        <f t="shared" si="332"/>
        <v>0</v>
      </c>
      <c r="O808" s="641">
        <f t="shared" si="329"/>
        <v>0</v>
      </c>
      <c r="P808" s="641">
        <f t="shared" si="330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3">L816+L817</f>
        <v>0</v>
      </c>
      <c r="M815" s="641">
        <f t="shared" si="333"/>
        <v>0</v>
      </c>
      <c r="N815" s="641">
        <f t="shared" si="333"/>
        <v>0</v>
      </c>
      <c r="O815" s="641">
        <f t="shared" ref="O815:O817" si="334">IF(L815&gt;0,N815*100/L815,0)</f>
        <v>0</v>
      </c>
      <c r="P815" s="641">
        <f t="shared" ref="P815:P817" si="335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IFERROR(__xludf.DUMMYFUNCTION("IMPORTRANGE(""https://docs.google.com/spreadsheets/d/19vJNZY_5yjcGF2XGBMNZRCAIB0Kwfpjp8YEOfu-bneM/edit?usp=sharing"",""งานกองทุน!F37"")"),232997.15)</f>
        <v>232997.15</v>
      </c>
      <c r="K821" s="497">
        <f t="shared" ref="K821:K828" ca="1" si="336">IF(I821&gt;0,J821*100/I821,0)</f>
        <v>5.6399570798373384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IFERROR(__xludf.DUMMYFUNCTION("IMPORTRANGE(""https://docs.google.com/spreadsheets/d/19vJNZY_5yjcGF2XGBMNZRCAIB0Kwfpjp8YEOfu-bneM/edit?usp=sharing"",""งานกองทุน!E37"")"),15)</f>
        <v>15</v>
      </c>
      <c r="K822" s="497">
        <f t="shared" ca="1" si="336"/>
        <v>5.3956834532374103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IFERROR(__xludf.DUMMYFUNCTION("IMPORTRANGE(""https://docs.google.com/spreadsheets/d/19vJNZY_5yjcGF2XGBMNZRCAIB0Kwfpjp8YEOfu-bneM/edit?usp=sharing"",""งานกองทุน!K37"")"),80881.97)</f>
        <v>80881.97</v>
      </c>
      <c r="K823" s="497">
        <f t="shared" ca="1" si="336"/>
        <v>7.4681576198268704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IFERROR(__xludf.DUMMYFUNCTION("IMPORTRANGE(""https://docs.google.com/spreadsheets/d/19vJNZY_5yjcGF2XGBMNZRCAIB0Kwfpjp8YEOfu-bneM/edit?usp=sharing"",""งานกองทุน!J37"")"),18)</f>
        <v>18</v>
      </c>
      <c r="K824" s="497">
        <f t="shared" ca="1" si="336"/>
        <v>32.727272727272727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IFERROR(__xludf.DUMMYFUNCTION("IMPORTRANGE(""https://docs.google.com/spreadsheets/d/19vJNZY_5yjcGF2XGBMNZRCAIB0Kwfpjp8YEOfu-bneM/edit?usp=sharing"",""งานกองทุน!U37"")"),0)</f>
        <v>0</v>
      </c>
      <c r="K827" s="497">
        <f t="shared" ca="1" si="336"/>
        <v>0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IFERROR(__xludf.DUMMYFUNCTION("IMPORTRANGE(""https://docs.google.com/spreadsheets/d/19vJNZY_5yjcGF2XGBMNZRCAIB0Kwfpjp8YEOfu-bneM/edit?usp=sharing"",""งานกองทุน!R37"")"),112)</f>
        <v>112</v>
      </c>
      <c r="J828" s="500">
        <f ca="1">IFERROR(__xludf.DUMMYFUNCTION("IMPORTRANGE(""https://docs.google.com/spreadsheets/d/19vJNZY_5yjcGF2XGBMNZRCAIB0Kwfpjp8YEOfu-bneM/edit?usp=sharing"",""งานกองทุน!T37"")"),0)</f>
        <v>0</v>
      </c>
      <c r="K828" s="501">
        <f t="shared" ca="1" si="336"/>
        <v>0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C8974-3E7B-4AD0-8641-967D92CC765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342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3352062</v>
      </c>
      <c r="N8" s="22">
        <f t="shared" ca="1" si="0"/>
        <v>2187141.2600000002</v>
      </c>
      <c r="O8" s="22">
        <f t="shared" ref="O8:O16" ca="1" si="1">IF(L8&gt;0,N8*100/L8,0)</f>
        <v>28.207583313074284</v>
      </c>
      <c r="P8" s="22">
        <f t="shared" ref="P8:P16" ca="1" si="2">IF(M8&gt;0,N8*100/M8,0)</f>
        <v>65.247637424367454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3352062</v>
      </c>
      <c r="N10" s="30">
        <f t="shared" ca="1" si="3"/>
        <v>2187141.2600000002</v>
      </c>
      <c r="O10" s="30">
        <f t="shared" ca="1" si="1"/>
        <v>28.207583313074284</v>
      </c>
      <c r="P10" s="30">
        <f t="shared" ca="1" si="2"/>
        <v>65.247637424367454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7639935</v>
      </c>
      <c r="M11" s="497">
        <f t="shared" ca="1" si="4"/>
        <v>3238262</v>
      </c>
      <c r="N11" s="497">
        <f t="shared" ca="1" si="4"/>
        <v>2073341.2600000002</v>
      </c>
      <c r="O11" s="497">
        <f t="shared" ca="1" si="1"/>
        <v>27.138205495203824</v>
      </c>
      <c r="P11" s="497">
        <f t="shared" ca="1" si="2"/>
        <v>64.026359201324667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7639935</v>
      </c>
      <c r="M13" s="93">
        <f t="shared" ca="1" si="5"/>
        <v>3238262</v>
      </c>
      <c r="N13" s="93">
        <f t="shared" ca="1" si="5"/>
        <v>2073341.2600000002</v>
      </c>
      <c r="O13" s="93">
        <f t="shared" ca="1" si="1"/>
        <v>27.138205495203824</v>
      </c>
      <c r="P13" s="93">
        <f t="shared" ca="1" si="2"/>
        <v>64.026359201324667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3352062</v>
      </c>
      <c r="N18" s="22">
        <f t="shared" ca="1" si="8"/>
        <v>1886596.2600000002</v>
      </c>
      <c r="O18" s="22">
        <f t="shared" ref="O18:O26" ca="1" si="9">IF(L18&gt;0,N18*100/L18,0)</f>
        <v>40.487487397262747</v>
      </c>
      <c r="P18" s="22">
        <f t="shared" ref="P18:P26" ca="1" si="10">IF(M18&gt;0,N18*100/M18,0)</f>
        <v>56.281663644646201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3352062</v>
      </c>
      <c r="N20" s="30">
        <f t="shared" ca="1" si="11"/>
        <v>1886596.2600000002</v>
      </c>
      <c r="O20" s="30">
        <f t="shared" ca="1" si="9"/>
        <v>40.487487397262747</v>
      </c>
      <c r="P20" s="30">
        <f t="shared" ca="1" si="10"/>
        <v>56.281663644646201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3238262</v>
      </c>
      <c r="N21" s="497">
        <f t="shared" ca="1" si="12"/>
        <v>1772796.2600000002</v>
      </c>
      <c r="O21" s="497">
        <f t="shared" ca="1" si="9"/>
        <v>38.997678788500068</v>
      </c>
      <c r="P21" s="497">
        <f t="shared" ca="1" si="10"/>
        <v>54.745300411146481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4545902</v>
      </c>
      <c r="M23" s="93">
        <f t="shared" ca="1" si="13"/>
        <v>3238262</v>
      </c>
      <c r="N23" s="93">
        <f t="shared" ca="1" si="13"/>
        <v>1772796.2600000002</v>
      </c>
      <c r="O23" s="93">
        <f t="shared" ca="1" si="9"/>
        <v>38.997678788500068</v>
      </c>
      <c r="P23" s="93">
        <f t="shared" ca="1" si="10"/>
        <v>54.745300411146481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si="16"/>
        <v>0</v>
      </c>
      <c r="N28" s="22">
        <f t="shared" si="16"/>
        <v>300545</v>
      </c>
      <c r="O28" s="22">
        <f t="shared" ref="O28:O37" ca="1" si="17">IF(L28&gt;0,N28*100/L28,0)</f>
        <v>9.7136973005782412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si="19"/>
        <v>0</v>
      </c>
      <c r="N30" s="30">
        <f t="shared" si="19"/>
        <v>300545</v>
      </c>
      <c r="O30" s="30">
        <f t="shared" ca="1" si="17"/>
        <v>9.7136973005782412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3094033</v>
      </c>
      <c r="M31" s="497">
        <f t="shared" si="20"/>
        <v>0</v>
      </c>
      <c r="N31" s="497">
        <f t="shared" si="20"/>
        <v>300545</v>
      </c>
      <c r="O31" s="497">
        <f t="shared" ca="1" si="17"/>
        <v>9.7136973005782412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3094033</v>
      </c>
      <c r="M33" s="93">
        <f t="shared" si="21"/>
        <v>0</v>
      </c>
      <c r="N33" s="93">
        <f t="shared" si="21"/>
        <v>300545</v>
      </c>
      <c r="O33" s="93">
        <f t="shared" ca="1" si="17"/>
        <v>9.7136973005782412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4659702</v>
      </c>
      <c r="M37" s="843">
        <f t="shared" ca="1" si="24"/>
        <v>3352062</v>
      </c>
      <c r="N37" s="843">
        <f t="shared" ca="1" si="24"/>
        <v>1886596.2600000002</v>
      </c>
      <c r="O37" s="843">
        <f t="shared" ca="1" si="17"/>
        <v>40.487487397262747</v>
      </c>
      <c r="P37" s="843">
        <f t="shared" ca="1" si="18"/>
        <v>56.281663644646201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793567</v>
      </c>
      <c r="N41" s="85">
        <f t="shared" ca="1" si="25"/>
        <v>367783.23</v>
      </c>
      <c r="O41" s="85">
        <f t="shared" ref="O41:O49" ca="1" si="26">IF(L41&gt;0,N41*100/L41,0)</f>
        <v>46.756543417680319</v>
      </c>
      <c r="P41" s="85">
        <f t="shared" ref="P41:P49" ca="1" si="27">IF(M41&gt;0,N41*100/M41,0)</f>
        <v>46.34558014635185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793567</v>
      </c>
      <c r="N43" s="92">
        <f t="shared" ca="1" si="28"/>
        <v>367783.23</v>
      </c>
      <c r="O43" s="92">
        <f t="shared" ca="1" si="26"/>
        <v>46.756543417680319</v>
      </c>
      <c r="P43" s="92">
        <f t="shared" ca="1" si="27"/>
        <v>46.34558014635185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793567</v>
      </c>
      <c r="N44" s="497">
        <f t="shared" ca="1" si="29"/>
        <v>367783.23</v>
      </c>
      <c r="O44" s="497">
        <f t="shared" ca="1" si="26"/>
        <v>46.756543417680319</v>
      </c>
      <c r="P44" s="497">
        <f t="shared" ca="1" si="27"/>
        <v>46.34558014635185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IFERROR(__xludf.DUMMYFUNCTION("IMPORTRANGE(""https://docs.google.com/spreadsheets/d/1MeEWN-I1oV_STSDYn1IFDPWt_1FKiwhDph83XaGc0o0/edit?usp=sharing"",""งบพรบ!R38"")"),793567)</f>
        <v>793567</v>
      </c>
      <c r="N46" s="93">
        <f ca="1">IFERROR(__xludf.DUMMYFUNCTION("IMPORTRANGE(""https://docs.google.com/spreadsheets/d/1MeEWN-I1oV_STSDYn1IFDPWt_1FKiwhDph83XaGc0o0/edit?usp=sharing"",""งบพรบ!T38"")"),367783.23)</f>
        <v>367783.23</v>
      </c>
      <c r="O46" s="93">
        <f t="shared" ca="1" si="26"/>
        <v>46.756543417680319</v>
      </c>
      <c r="P46" s="93">
        <f t="shared" ca="1" si="27"/>
        <v>46.34558014635185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547725</v>
      </c>
      <c r="N53" s="116">
        <f t="shared" ca="1" si="31"/>
        <v>246047.98</v>
      </c>
      <c r="O53" s="116">
        <f t="shared" ref="O53:O61" ca="1" si="32">IF(L53&gt;0,N53*100/L53,0)</f>
        <v>33.876907613933639</v>
      </c>
      <c r="P53" s="116">
        <f t="shared" ref="P53:P61" ca="1" si="33">IF(M53&gt;0,N53*100/M53,0)</f>
        <v>44.921809302113289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547725</v>
      </c>
      <c r="N55" s="123">
        <f t="shared" ca="1" si="34"/>
        <v>246047.98</v>
      </c>
      <c r="O55" s="123">
        <f t="shared" ca="1" si="32"/>
        <v>33.876907613933639</v>
      </c>
      <c r="P55" s="123">
        <f t="shared" ca="1" si="33"/>
        <v>44.921809302113289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547725</v>
      </c>
      <c r="N56" s="497">
        <f t="shared" ca="1" si="35"/>
        <v>246047.98</v>
      </c>
      <c r="O56" s="497">
        <f t="shared" ca="1" si="32"/>
        <v>33.876907613933639</v>
      </c>
      <c r="P56" s="497">
        <f t="shared" ca="1" si="33"/>
        <v>44.921809302113289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IFERROR(__xludf.DUMMYFUNCTION("IMPORTRANGE(""https://docs.google.com/spreadsheets/d/1MeEWN-I1oV_STSDYn1IFDPWt_1FKiwhDph83XaGc0o0/edit?usp=sharing"",""งบพรบ!AB38"")"),547725)</f>
        <v>547725</v>
      </c>
      <c r="N58" s="93">
        <f ca="1">IFERROR(__xludf.DUMMYFUNCTION("IMPORTRANGE(""https://docs.google.com/spreadsheets/d/1MeEWN-I1oV_STSDYn1IFDPWt_1FKiwhDph83XaGc0o0/edit?usp=sharing"",""งบพรบ!AD38"")"),246047.98)</f>
        <v>246047.98</v>
      </c>
      <c r="O58" s="93">
        <f t="shared" ca="1" si="32"/>
        <v>33.876907613933639</v>
      </c>
      <c r="P58" s="93">
        <f t="shared" ca="1" si="33"/>
        <v>44.921809302113289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484150</v>
      </c>
      <c r="N66" s="155">
        <f t="shared" ca="1" si="39"/>
        <v>349050</v>
      </c>
      <c r="O66" s="155">
        <f t="shared" ref="O66:O74" ca="1" si="40">IF(L66&gt;0,N66*100/L66,0)</f>
        <v>40.824561403508774</v>
      </c>
      <c r="P66" s="155">
        <f t="shared" ref="P66:P74" ca="1" si="41">IF(M66&gt;0,N66*100/M66,0)</f>
        <v>72.095424971599712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855000</v>
      </c>
      <c r="M68" s="93">
        <f t="shared" ca="1" si="42"/>
        <v>484150</v>
      </c>
      <c r="N68" s="93">
        <f t="shared" ca="1" si="42"/>
        <v>349050</v>
      </c>
      <c r="O68" s="93">
        <f t="shared" ca="1" si="40"/>
        <v>40.824561403508774</v>
      </c>
      <c r="P68" s="93">
        <f t="shared" ca="1" si="41"/>
        <v>72.095424971599712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484150</v>
      </c>
      <c r="N69" s="497">
        <f t="shared" ca="1" si="43"/>
        <v>349050</v>
      </c>
      <c r="O69" s="497">
        <f t="shared" ca="1" si="40"/>
        <v>40.824561403508774</v>
      </c>
      <c r="P69" s="497">
        <f t="shared" ca="1" si="41"/>
        <v>72.095424971599712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IFERROR(__xludf.DUMMYFUNCTION("IMPORTRANGE(""https://docs.google.com/spreadsheets/d/1MeEWN-I1oV_STSDYn1IFDPWt_1FKiwhDph83XaGc0o0/edit?usp=sharing"",""งบพรบ!AL38"")"),484150)</f>
        <v>484150</v>
      </c>
      <c r="N71" s="93">
        <f ca="1">IFERROR(__xludf.DUMMYFUNCTION("IMPORTRANGE(""https://docs.google.com/spreadsheets/d/1MeEWN-I1oV_STSDYn1IFDPWt_1FKiwhDph83XaGc0o0/edit?usp=sharing"",""งบพรบ!AN38"")"),349050)</f>
        <v>349050</v>
      </c>
      <c r="O71" s="93">
        <f t="shared" ca="1" si="40"/>
        <v>40.824561403508774</v>
      </c>
      <c r="P71" s="93">
        <f t="shared" ca="1" si="41"/>
        <v>72.095424971599712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29350</v>
      </c>
      <c r="N88" s="155">
        <f t="shared" ca="1" si="49"/>
        <v>29065</v>
      </c>
      <c r="O88" s="155">
        <f t="shared" ref="O88:O96" ca="1" si="50">IF(L88&gt;0,N88*100/L88,0)</f>
        <v>93.157051282051285</v>
      </c>
      <c r="P88" s="155">
        <f t="shared" ref="P88:P96" ca="1" si="51">IF(M88&gt;0,N88*100/M88,0)</f>
        <v>99.028960817717206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31200</v>
      </c>
      <c r="M90" s="93">
        <f t="shared" ca="1" si="52"/>
        <v>29350</v>
      </c>
      <c r="N90" s="93">
        <f t="shared" ca="1" si="52"/>
        <v>29065</v>
      </c>
      <c r="O90" s="93">
        <f t="shared" ca="1" si="50"/>
        <v>93.157051282051285</v>
      </c>
      <c r="P90" s="93">
        <f t="shared" ca="1" si="51"/>
        <v>99.028960817717206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29350</v>
      </c>
      <c r="N91" s="497">
        <f t="shared" ca="1" si="53"/>
        <v>29065</v>
      </c>
      <c r="O91" s="497">
        <f t="shared" ca="1" si="50"/>
        <v>93.157051282051285</v>
      </c>
      <c r="P91" s="497">
        <f t="shared" ca="1" si="51"/>
        <v>99.028960817717206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IFERROR(__xludf.DUMMYFUNCTION("IMPORTRANGE(""https://docs.google.com/spreadsheets/d/1MeEWN-I1oV_STSDYn1IFDPWt_1FKiwhDph83XaGc0o0/edit?usp=sharing"",""งบพรบ!AV38"")"),29350)</f>
        <v>29350</v>
      </c>
      <c r="N93" s="93">
        <f ca="1">IFERROR(__xludf.DUMMYFUNCTION("IMPORTRANGE(""https://docs.google.com/spreadsheets/d/1MeEWN-I1oV_STSDYn1IFDPWt_1FKiwhDph83XaGc0o0/edit?usp=sharing"",""งบพรบ!AX38"")"),29065)</f>
        <v>29065</v>
      </c>
      <c r="O93" s="93">
        <f t="shared" ca="1" si="50"/>
        <v>93.157051282051285</v>
      </c>
      <c r="P93" s="93">
        <f t="shared" ca="1" si="51"/>
        <v>99.028960817717206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/>
      <c r="J118" s="208"/>
      <c r="K118" s="146"/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16720</v>
      </c>
      <c r="N149" s="155">
        <f t="shared" ca="1" si="77"/>
        <v>6712</v>
      </c>
      <c r="O149" s="155">
        <f t="shared" ref="O149:O157" ca="1" si="78">IF(L149&gt;0,N149*100/L149,0)</f>
        <v>67.12</v>
      </c>
      <c r="P149" s="155">
        <f t="shared" ref="P149:P157" ca="1" si="79">IF(M149&gt;0,N149*100/M149,0)</f>
        <v>40.143540669856456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10000</v>
      </c>
      <c r="M151" s="93">
        <f t="shared" ca="1" si="80"/>
        <v>16720</v>
      </c>
      <c r="N151" s="93">
        <f t="shared" ca="1" si="80"/>
        <v>6712</v>
      </c>
      <c r="O151" s="93">
        <f t="shared" ca="1" si="78"/>
        <v>67.12</v>
      </c>
      <c r="P151" s="93">
        <f t="shared" ca="1" si="79"/>
        <v>40.143540669856456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16720</v>
      </c>
      <c r="N152" s="497">
        <f t="shared" ca="1" si="81"/>
        <v>6712</v>
      </c>
      <c r="O152" s="497">
        <f t="shared" ca="1" si="78"/>
        <v>67.12</v>
      </c>
      <c r="P152" s="497">
        <f t="shared" ca="1" si="79"/>
        <v>40.143540669856456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IFERROR(__xludf.DUMMYFUNCTION("IMPORTRANGE(""https://docs.google.com/spreadsheets/d/1MeEWN-I1oV_STSDYn1IFDPWt_1FKiwhDph83XaGc0o0/edit?usp=sharing"",""งบพรบ!BZ38"")"),16720)</f>
        <v>16720</v>
      </c>
      <c r="N154" s="93">
        <f ca="1">IFERROR(__xludf.DUMMYFUNCTION("IMPORTRANGE(""https://docs.google.com/spreadsheets/d/1MeEWN-I1oV_STSDYn1IFDPWt_1FKiwhDph83XaGc0o0/edit?usp=sharing"",""งบพรบ!CB38"")"),6712)</f>
        <v>6712</v>
      </c>
      <c r="O154" s="93">
        <f t="shared" ca="1" si="78"/>
        <v>67.12</v>
      </c>
      <c r="P154" s="93">
        <f t="shared" ca="1" si="79"/>
        <v>40.143540669856456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19857</v>
      </c>
      <c r="O165" s="155">
        <f t="shared" ref="O165:O173" ca="1" si="85">IF(L165&gt;0,N165*100/L165,0)</f>
        <v>94.332541567695955</v>
      </c>
      <c r="P165" s="155">
        <f t="shared" ref="P165:P173" ca="1" si="86">IF(M165&gt;0,N165*100/M165,0)</f>
        <v>94.332541567695955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19857</v>
      </c>
      <c r="O167" s="93">
        <f t="shared" ca="1" si="85"/>
        <v>94.332541567695955</v>
      </c>
      <c r="P167" s="93">
        <f t="shared" ca="1" si="86"/>
        <v>94.332541567695955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19857</v>
      </c>
      <c r="O168" s="497">
        <f t="shared" ca="1" si="85"/>
        <v>94.332541567695955</v>
      </c>
      <c r="P168" s="497">
        <f t="shared" ca="1" si="86"/>
        <v>94.332541567695955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IFERROR(__xludf.DUMMYFUNCTION("IMPORTRANGE(""https://docs.google.com/spreadsheets/d/1MeEWN-I1oV_STSDYn1IFDPWt_1FKiwhDph83XaGc0o0/edit?usp=sharing"",""งบพรบ!CL38"")"),19857)</f>
        <v>19857</v>
      </c>
      <c r="O170" s="93">
        <f t="shared" ca="1" si="85"/>
        <v>94.332541567695955</v>
      </c>
      <c r="P170" s="93">
        <f t="shared" ca="1" si="86"/>
        <v>94.332541567695955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63500</v>
      </c>
      <c r="N181" s="155">
        <f t="shared" ca="1" si="92"/>
        <v>36040</v>
      </c>
      <c r="O181" s="155">
        <f t="shared" ref="O181:O189" ca="1" si="93">IF(L181&gt;0,N181*100/L181,0)</f>
        <v>40.044444444444444</v>
      </c>
      <c r="P181" s="155">
        <f t="shared" ref="P181:P189" ca="1" si="94">IF(M181&gt;0,N181*100/M181,0)</f>
        <v>56.755905511811022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90000</v>
      </c>
      <c r="M183" s="93">
        <f t="shared" ca="1" si="95"/>
        <v>63500</v>
      </c>
      <c r="N183" s="93">
        <f t="shared" ca="1" si="95"/>
        <v>36040</v>
      </c>
      <c r="O183" s="93">
        <f t="shared" ca="1" si="93"/>
        <v>40.044444444444444</v>
      </c>
      <c r="P183" s="93">
        <f t="shared" ca="1" si="94"/>
        <v>56.755905511811022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63500</v>
      </c>
      <c r="N184" s="497">
        <f t="shared" ca="1" si="96"/>
        <v>36040</v>
      </c>
      <c r="O184" s="497">
        <f t="shared" ca="1" si="93"/>
        <v>40.044444444444444</v>
      </c>
      <c r="P184" s="497">
        <f t="shared" ca="1" si="94"/>
        <v>56.755905511811022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IFERROR(__xludf.DUMMYFUNCTION("IMPORTRANGE(""https://docs.google.com/spreadsheets/d/1MeEWN-I1oV_STSDYn1IFDPWt_1FKiwhDph83XaGc0o0/edit?usp=sharing"",""งบพรบ!CT38"")"),63500)</f>
        <v>63500</v>
      </c>
      <c r="N186" s="93">
        <f ca="1">IFERROR(__xludf.DUMMYFUNCTION("IMPORTRANGE(""https://docs.google.com/spreadsheets/d/1MeEWN-I1oV_STSDYn1IFDPWt_1FKiwhDph83XaGc0o0/edit?usp=sharing"",""งบพรบ!CV38"")"),36040)</f>
        <v>36040</v>
      </c>
      <c r="O186" s="93">
        <f t="shared" ca="1" si="93"/>
        <v>40.044444444444444</v>
      </c>
      <c r="P186" s="93">
        <f t="shared" ca="1" si="94"/>
        <v>56.755905511811022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1200</v>
      </c>
      <c r="O191" s="155">
        <f ca="1">IF(L191&gt;0,N191*100/L191,0)</f>
        <v>20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30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30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22040</v>
      </c>
      <c r="O198" s="155">
        <f ca="1">IF(L198&gt;0,N198*100/L198,0)</f>
        <v>56.512820512820511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4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4">
        <f>19200+2840</f>
        <v>22040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8000</v>
      </c>
      <c r="O209" s="155">
        <f ca="1">IF(L209&gt;0,N209*100/L209,0)</f>
        <v>57.142857142857146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4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4180</v>
      </c>
      <c r="O261" s="155">
        <f t="shared" ref="O261:O269" ca="1" si="117">IF(L261&gt;0,N261*100/L261,0)</f>
        <v>15.53903345724907</v>
      </c>
      <c r="P261" s="155">
        <f t="shared" ref="P261:P269" ca="1" si="118">IF(M261&gt;0,N261*100/M261,0)</f>
        <v>17.489539748953973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4180</v>
      </c>
      <c r="O263" s="93">
        <f t="shared" ca="1" si="117"/>
        <v>15.53903345724907</v>
      </c>
      <c r="P263" s="93">
        <f t="shared" ca="1" si="118"/>
        <v>17.489539748953973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4180</v>
      </c>
      <c r="O264" s="497">
        <f t="shared" ca="1" si="117"/>
        <v>15.53903345724907</v>
      </c>
      <c r="P264" s="497">
        <f t="shared" ca="1" si="118"/>
        <v>17.489539748953973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IFERROR(__xludf.DUMMYFUNCTION("IMPORTRANGE(""https://docs.google.com/spreadsheets/d/1MeEWN-I1oV_STSDYn1IFDPWt_1FKiwhDph83XaGc0o0/edit?usp=sharing"",""งบพรบ!DD38"")"),23900)</f>
        <v>23900</v>
      </c>
      <c r="N266" s="93">
        <f ca="1">IFERROR(__xludf.DUMMYFUNCTION("IMPORTRANGE(""https://docs.google.com/spreadsheets/d/1MeEWN-I1oV_STSDYn1IFDPWt_1FKiwhDph83XaGc0o0/edit?usp=sharing"",""งบพรบ!DF38"")"),4180)</f>
        <v>4180</v>
      </c>
      <c r="O266" s="93">
        <f t="shared" ca="1" si="117"/>
        <v>15.53903345724907</v>
      </c>
      <c r="P266" s="93">
        <f t="shared" ca="1" si="118"/>
        <v>17.489539748953973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21950</v>
      </c>
      <c r="N277" s="155">
        <f t="shared" ca="1" si="125"/>
        <v>14960</v>
      </c>
      <c r="O277" s="155">
        <f t="shared" ref="O277:O285" ca="1" si="126">IF(L277&gt;0,N277*100/L277,0)</f>
        <v>36.478907583516218</v>
      </c>
      <c r="P277" s="155">
        <f t="shared" ref="P277:P285" ca="1" si="127">IF(M277&gt;0,N277*100/M277,0)</f>
        <v>68.154897494305246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41010</v>
      </c>
      <c r="M279" s="93">
        <f t="shared" ca="1" si="128"/>
        <v>21950</v>
      </c>
      <c r="N279" s="93">
        <f t="shared" ca="1" si="128"/>
        <v>14960</v>
      </c>
      <c r="O279" s="93">
        <f t="shared" ca="1" si="126"/>
        <v>36.478907583516218</v>
      </c>
      <c r="P279" s="93">
        <f t="shared" ca="1" si="127"/>
        <v>68.154897494305246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21950</v>
      </c>
      <c r="N280" s="497">
        <f t="shared" ca="1" si="129"/>
        <v>14960</v>
      </c>
      <c r="O280" s="497">
        <f t="shared" ca="1" si="126"/>
        <v>36.478907583516218</v>
      </c>
      <c r="P280" s="497">
        <f t="shared" ca="1" si="127"/>
        <v>68.154897494305246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IFERROR(__xludf.DUMMYFUNCTION("IMPORTRANGE(""https://docs.google.com/spreadsheets/d/1MeEWN-I1oV_STSDYn1IFDPWt_1FKiwhDph83XaGc0o0/edit?usp=sharing"",""งบพรบ!DN38"")"),21950)</f>
        <v>21950</v>
      </c>
      <c r="N282" s="93">
        <f ca="1">IFERROR(__xludf.DUMMYFUNCTION("IMPORTRANGE(""https://docs.google.com/spreadsheets/d/1MeEWN-I1oV_STSDYn1IFDPWt_1FKiwhDph83XaGc0o0/edit?usp=sharing"",""งบพรบ!DP38"")"),14960)</f>
        <v>14960</v>
      </c>
      <c r="O282" s="93">
        <f t="shared" ca="1" si="126"/>
        <v>36.478907583516218</v>
      </c>
      <c r="P282" s="93">
        <f t="shared" ca="1" si="127"/>
        <v>68.154897494305246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IFERROR(__xludf.DUMMYFUNCTION("IMPORTRANGE(""https://docs.google.com/spreadsheets/d/1QqKyyYR6Q21VydFLVH3TRQUabQu_ym0Zz7PgGX0-kHA/edit?usp=sharing"",""แผน!EB38"")"),10)</f>
        <v>10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0" t="s">
        <v>133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28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268400</v>
      </c>
      <c r="N298" s="155">
        <f t="shared" ca="1" si="135"/>
        <v>139495.09</v>
      </c>
      <c r="O298" s="155">
        <f t="shared" ref="O298:O306" ca="1" si="136">IF(L298&gt;0,N298*100/L298,0)</f>
        <v>36.045242894056848</v>
      </c>
      <c r="P298" s="155">
        <f t="shared" ref="P298:P306" ca="1" si="137">IF(M298&gt;0,N298*100/M298,0)</f>
        <v>51.972835320417289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387000</v>
      </c>
      <c r="M300" s="93">
        <f t="shared" ca="1" si="138"/>
        <v>268400</v>
      </c>
      <c r="N300" s="93">
        <f t="shared" ca="1" si="138"/>
        <v>139495.09</v>
      </c>
      <c r="O300" s="93">
        <f t="shared" ca="1" si="136"/>
        <v>36.045242894056848</v>
      </c>
      <c r="P300" s="93">
        <f t="shared" ca="1" si="137"/>
        <v>51.972835320417289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268400</v>
      </c>
      <c r="N301" s="497">
        <f t="shared" ca="1" si="139"/>
        <v>139495.09</v>
      </c>
      <c r="O301" s="497">
        <f t="shared" ca="1" si="136"/>
        <v>36.045242894056848</v>
      </c>
      <c r="P301" s="497">
        <f t="shared" ca="1" si="137"/>
        <v>51.972835320417289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IFERROR(__xludf.DUMMYFUNCTION("IMPORTRANGE(""https://docs.google.com/spreadsheets/d/1MeEWN-I1oV_STSDYn1IFDPWt_1FKiwhDph83XaGc0o0/edit?usp=sharing"",""งบพรบ!DX38"")"),268400)</f>
        <v>268400</v>
      </c>
      <c r="N303" s="93">
        <f ca="1">IFERROR(__xludf.DUMMYFUNCTION("IMPORTRANGE(""https://docs.google.com/spreadsheets/d/1MeEWN-I1oV_STSDYn1IFDPWt_1FKiwhDph83XaGc0o0/edit?usp=sharing"",""งบพรบ!DZ38"")"),139495.09)</f>
        <v>139495.09</v>
      </c>
      <c r="O303" s="93">
        <f t="shared" ca="1" si="136"/>
        <v>36.045242894056848</v>
      </c>
      <c r="P303" s="93">
        <f t="shared" ca="1" si="137"/>
        <v>51.972835320417289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3307</v>
      </c>
      <c r="K327" s="445">
        <f ca="1">IF(I327&gt;0,J327*100/I327,0)</f>
        <v>52.492063492063494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221400</v>
      </c>
      <c r="N328" s="155">
        <f t="shared" ca="1" si="149"/>
        <v>88949.07</v>
      </c>
      <c r="O328" s="155">
        <f t="shared" ref="O328:O336" ca="1" si="150">IF(L328&gt;0,N328*100/L328,0)</f>
        <v>25.041967905405407</v>
      </c>
      <c r="P328" s="155">
        <f t="shared" ref="P328:P336" ca="1" si="151">IF(M328&gt;0,N328*100/M328,0)</f>
        <v>40.17573170731707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355200</v>
      </c>
      <c r="M330" s="93">
        <f t="shared" ca="1" si="152"/>
        <v>221400</v>
      </c>
      <c r="N330" s="93">
        <f t="shared" ca="1" si="152"/>
        <v>88949.07</v>
      </c>
      <c r="O330" s="93">
        <f t="shared" ca="1" si="150"/>
        <v>25.041967905405407</v>
      </c>
      <c r="P330" s="93">
        <f t="shared" ca="1" si="151"/>
        <v>40.17573170731707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221400</v>
      </c>
      <c r="N331" s="497">
        <f t="shared" ca="1" si="153"/>
        <v>88949.07</v>
      </c>
      <c r="O331" s="497">
        <f t="shared" ca="1" si="150"/>
        <v>25.041967905405407</v>
      </c>
      <c r="P331" s="497">
        <f t="shared" ca="1" si="151"/>
        <v>40.17573170731707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IFERROR(__xludf.DUMMYFUNCTION("IMPORTRANGE(""https://docs.google.com/spreadsheets/d/1MeEWN-I1oV_STSDYn1IFDPWt_1FKiwhDph83XaGc0o0/edit?usp=sharing"",""งบพรบ!ER38"")"),221400)</f>
        <v>221400</v>
      </c>
      <c r="N333" s="93">
        <f ca="1">IFERROR(__xludf.DUMMYFUNCTION("IMPORTRANGE(""https://docs.google.com/spreadsheets/d/1MeEWN-I1oV_STSDYn1IFDPWt_1FKiwhDph83XaGc0o0/edit?usp=sharing"",""งบพรบ!ET38"")"),88949.07)</f>
        <v>88949.07</v>
      </c>
      <c r="O333" s="93">
        <f t="shared" ca="1" si="150"/>
        <v>25.041967905405407</v>
      </c>
      <c r="P333" s="93">
        <f t="shared" ca="1" si="151"/>
        <v>40.17573170731707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IFERROR(__xludf.DUMMYFUNCTION("IMPORTRANGE(""https://docs.google.com/spreadsheets/d/1kVcqe37tkHyjCSG3S0O1AXqVkqjo8mSIZil3BcpIysc/edit?usp=sharing"",""ศูนย์!D38"")"),3080)</f>
        <v>3080</v>
      </c>
      <c r="K338" s="497">
        <f ca="1">IF(I338&gt;0,J338*100/I338,0)</f>
        <v>48.888888888888886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IFERROR(__xludf.DUMMYFUNCTION("IMPORTRANGE(""https://docs.google.com/spreadsheets/d/1kVcqe37tkHyjCSG3S0O1AXqVkqjo8mSIZil3BcpIysc/edit?usp=sharing"",""ศูนย์!E38"")"),4)</f>
        <v>4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IFERROR(__xludf.DUMMYFUNCTION("IMPORTRANGE(""https://docs.google.com/spreadsheets/d/1kVcqe37tkHyjCSG3S0O1AXqVkqjo8mSIZil3BcpIysc/edit?usp=sharing"",""ศูนย์!F38"")"),226)</f>
        <v>226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IFERROR(__xludf.DUMMYFUNCTION("IMPORTRANGE(""https://docs.google.com/spreadsheets/d/1kVcqe37tkHyjCSG3S0O1AXqVkqjo8mSIZil3BcpIysc/edit?usp=sharing"",""ศูนย์!H38"")"),1)</f>
        <v>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860350</v>
      </c>
      <c r="N345" s="155">
        <f t="shared" ca="1" si="155"/>
        <v>584456.89</v>
      </c>
      <c r="O345" s="155">
        <f t="shared" ref="O345:O353" ca="1" si="156">IF(L345&gt;0,N345*100/L345,0)</f>
        <v>43.962306969047347</v>
      </c>
      <c r="P345" s="155">
        <f t="shared" ref="P345:P353" ca="1" si="157">IF(M345&gt;0,N345*100/M345,0)</f>
        <v>67.93245655837741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1329450</v>
      </c>
      <c r="M347" s="93">
        <f t="shared" ca="1" si="158"/>
        <v>860350</v>
      </c>
      <c r="N347" s="93">
        <f t="shared" ca="1" si="158"/>
        <v>584456.89</v>
      </c>
      <c r="O347" s="93">
        <f t="shared" ca="1" si="156"/>
        <v>43.962306969047347</v>
      </c>
      <c r="P347" s="93">
        <f t="shared" ca="1" si="157"/>
        <v>67.93245655837741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746550</v>
      </c>
      <c r="N348" s="497">
        <f t="shared" ca="1" si="159"/>
        <v>470656.89</v>
      </c>
      <c r="O348" s="497">
        <f t="shared" ca="1" si="156"/>
        <v>38.71648007238926</v>
      </c>
      <c r="P348" s="497">
        <f t="shared" ca="1" si="157"/>
        <v>63.044255575647981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IFERROR(__xludf.DUMMYFUNCTION("IMPORTRANGE(""https://docs.google.com/spreadsheets/d/1MeEWN-I1oV_STSDYn1IFDPWt_1FKiwhDph83XaGc0o0/edit?usp=sharing"",""งบพรบ!FB38"")"),746550)</f>
        <v>746550</v>
      </c>
      <c r="N350" s="93">
        <f ca="1">IFERROR(__xludf.DUMMYFUNCTION("IMPORTRANGE(""https://docs.google.com/spreadsheets/d/1MeEWN-I1oV_STSDYn1IFDPWt_1FKiwhDph83XaGc0o0/edit?usp=sharing"",""งบพรบ!FD38"")"),470656.89)</f>
        <v>470656.89</v>
      </c>
      <c r="O350" s="93">
        <f t="shared" ca="1" si="156"/>
        <v>38.71648007238926</v>
      </c>
      <c r="P350" s="93">
        <f t="shared" ca="1" si="157"/>
        <v>63.044255575647981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68</v>
      </c>
      <c r="K355" s="465">
        <f ca="1">IF(I355&gt;0,J355*100/I355,0)</f>
        <v>9.7701149425287355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IFERROR(__xludf.DUMMYFUNCTION("IMPORTRANGE(""https://docs.google.com/spreadsheets/d/1XWAQStnk-4SwqDmLtmXYiTMKHgktTP8We1SCoS47DrQ/edit?usp=sharing"",""จัดที่ดิน!W38"")"),345)</f>
        <v>345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IFERROR(__xludf.DUMMYFUNCTION("IMPORTRANGE(""https://docs.google.com/spreadsheets/d/1XWAQStnk-4SwqDmLtmXYiTMKHgktTP8We1SCoS47DrQ/edit?usp=sharing"",""จัดที่ดิน!X38"")"),2215.74)</f>
        <v>2215.7399999999998</v>
      </c>
      <c r="K359" s="497">
        <f t="shared" ca="1" si="161"/>
        <v>31.835344827586201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IFERROR(__xludf.DUMMYFUNCTION("IMPORTRANGE(""https://docs.google.com/spreadsheets/d/1XWAQStnk-4SwqDmLtmXYiTMKHgktTP8We1SCoS47DrQ/edit?usp=sharing"",""จัดที่ดิน!Y38"")"),154)</f>
        <v>154</v>
      </c>
      <c r="K360" s="497">
        <f t="shared" ca="1" si="161"/>
        <v>22.126436781609197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IFERROR(__xludf.DUMMYFUNCTION("IMPORTRANGE(""https://docs.google.com/spreadsheets/d/1XWAQStnk-4SwqDmLtmXYiTMKHgktTP8We1SCoS47DrQ/edit?usp=sharing"",""จัดที่ดิน!Z38"")"),1193.76)</f>
        <v>1193.76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IFERROR(__xludf.DUMMYFUNCTION("IMPORTRANGE(""https://docs.google.com/spreadsheets/d/1XWAQStnk-4SwqDmLtmXYiTMKHgktTP8We1SCoS47DrQ/edit?usp=sharing"",""จัดที่ดิน!AA38"")"),68)</f>
        <v>68</v>
      </c>
      <c r="K362" s="497">
        <f t="shared" ca="1" si="161"/>
        <v>9.7701149425287355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IFERROR(__xludf.DUMMYFUNCTION("IMPORTRANGE(""https://docs.google.com/spreadsheets/d/1XWAQStnk-4SwqDmLtmXYiTMKHgktTP8We1SCoS47DrQ/edit?usp=sharing"",""จัดที่ดิน!AB38"")"),621.51)</f>
        <v>621.51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84</v>
      </c>
      <c r="K364" s="479">
        <f t="shared" ca="1" si="161"/>
        <v>6.7961165048543686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IFERROR(__xludf.DUMMYFUNCTION("IMPORTRANGE(""https://docs.google.com/spreadsheets/d/1QqKyyYR6Q21VydFLVH3TRQUabQu_ym0Zz7PgGX0-kHA/edit?usp=sharing"",""แผน!EJ38"")"),496)</f>
        <v>496</v>
      </c>
      <c r="J365" s="490">
        <f ca="1">J372</f>
        <v>68</v>
      </c>
      <c r="K365" s="491">
        <f t="shared" ca="1" si="161"/>
        <v>13.709677419354838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IFERROR(__xludf.DUMMYFUNCTION("IMPORTRANGE(""https://docs.google.com/spreadsheets/d/1XWAQStnk-4SwqDmLtmXYiTMKHgktTP8We1SCoS47DrQ/edit?usp=sharing"",""จัดที่ดิน!E38"")"),262)</f>
        <v>262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IFERROR(__xludf.DUMMYFUNCTION("IMPORTRANGE(""https://docs.google.com/spreadsheets/d/1QqKyyYR6Q21VydFLVH3TRQUabQu_ym0Zz7PgGX0-kHA/edit?usp=sharing"",""แผน!EI38"")"),4960)</f>
        <v>4960</v>
      </c>
      <c r="J369" s="270">
        <f ca="1">IFERROR(__xludf.DUMMYFUNCTION("IMPORTRANGE(""https://docs.google.com/spreadsheets/d/1XWAQStnk-4SwqDmLtmXYiTMKHgktTP8We1SCoS47DrQ/edit?usp=sharing"",""จัดที่ดิน!F38"")"),1573.16)</f>
        <v>1573.16</v>
      </c>
      <c r="K369" s="497">
        <f t="shared" ca="1" si="163"/>
        <v>31.716935483870969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IFERROR(__xludf.DUMMYFUNCTION("IMPORTRANGE(""https://docs.google.com/spreadsheets/d/1QqKyyYR6Q21VydFLVH3TRQUabQu_ym0Zz7PgGX0-kHA/edit?usp=sharing"",""แผน!EJ38"")"),496)</f>
        <v>496</v>
      </c>
      <c r="J370" s="270">
        <f ca="1">IFERROR(__xludf.DUMMYFUNCTION("IMPORTRANGE(""https://docs.google.com/spreadsheets/d/1XWAQStnk-4SwqDmLtmXYiTMKHgktTP8We1SCoS47DrQ/edit?usp=sharing"",""จัดที่ดิน!G38"")"),154)</f>
        <v>154</v>
      </c>
      <c r="K370" s="497">
        <f t="shared" ca="1" si="163"/>
        <v>31.048387096774192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IFERROR(__xludf.DUMMYFUNCTION("IMPORTRANGE(""https://docs.google.com/spreadsheets/d/1XWAQStnk-4SwqDmLtmXYiTMKHgktTP8We1SCoS47DrQ/edit?usp=sharing"",""จัดที่ดิน!H38"")"),1193.76)</f>
        <v>1193.76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IFERROR(__xludf.DUMMYFUNCTION("IMPORTRANGE(""https://docs.google.com/spreadsheets/d/1QqKyyYR6Q21VydFLVH3TRQUabQu_ym0Zz7PgGX0-kHA/edit?usp=sharing"",""แผน!EJ38"")"),496)</f>
        <v>496</v>
      </c>
      <c r="J372" s="270">
        <f ca="1">IFERROR(__xludf.DUMMYFUNCTION("IMPORTRANGE(""https://docs.google.com/spreadsheets/d/1XWAQStnk-4SwqDmLtmXYiTMKHgktTP8We1SCoS47DrQ/edit?usp=sharing"",""จัดที่ดิน!I38"")"),68)</f>
        <v>68</v>
      </c>
      <c r="K372" s="497">
        <f t="shared" ca="1" si="163"/>
        <v>13.709677419354838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IFERROR(__xludf.DUMMYFUNCTION("IMPORTRANGE(""https://docs.google.com/spreadsheets/d/1XWAQStnk-4SwqDmLtmXYiTMKHgktTP8We1SCoS47DrQ/edit?usp=sharing"",""จัดที่ดิน!J38"")"),621.51)</f>
        <v>621.51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IFERROR(__xludf.DUMMYFUNCTION("IMPORTRANGE(""https://docs.google.com/spreadsheets/d/1QqKyyYR6Q21VydFLVH3TRQUabQu_ym0Zz7PgGX0-kHA/edit?usp=sharing"",""แผน!EU38"")"),740)</f>
        <v>740</v>
      </c>
      <c r="J374" s="490">
        <f ca="1">J381</f>
        <v>16</v>
      </c>
      <c r="K374" s="491">
        <f t="shared" ca="1" si="163"/>
        <v>2.1621621621621623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IFERROR(__xludf.DUMMYFUNCTION("IMPORTRANGE(""https://docs.google.com/spreadsheets/d/1XWAQStnk-4SwqDmLtmXYiTMKHgktTP8We1SCoS47DrQ/edit?usp=sharing"",""จัดที่ดิน!AH38"")"),83)</f>
        <v>83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IFERROR(__xludf.DUMMYFUNCTION("IMPORTRANGE(""https://docs.google.com/spreadsheets/d/1QqKyyYR6Q21VydFLVH3TRQUabQu_ym0Zz7PgGX0-kHA/edit?usp=sharing"",""แผน!ET38"")"),2000)</f>
        <v>2000</v>
      </c>
      <c r="J378" s="270">
        <f ca="1">IFERROR(__xludf.DUMMYFUNCTION("IMPORTRANGE(""https://docs.google.com/spreadsheets/d/1XWAQStnk-4SwqDmLtmXYiTMKHgktTP8We1SCoS47DrQ/edit?usp=sharing"",""จัดที่ดิน!AI38"")"),642.58)</f>
        <v>642.58000000000004</v>
      </c>
      <c r="K378" s="497">
        <f t="shared" ca="1" si="164"/>
        <v>32.129000000000005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IFERROR(__xludf.DUMMYFUNCTION("IMPORTRANGE(""https://docs.google.com/spreadsheets/d/1QqKyyYR6Q21VydFLVH3TRQUabQu_ym0Zz7PgGX0-kHA/edit?usp=sharing"",""แผน!EU38"")"),740)</f>
        <v>740</v>
      </c>
      <c r="J379" s="270">
        <f ca="1">IFERROR(__xludf.DUMMYFUNCTION("IMPORTRANGE(""https://docs.google.com/spreadsheets/d/1XWAQStnk-4SwqDmLtmXYiTMKHgktTP8We1SCoS47DrQ/edit?usp=sharing"",""จัดที่ดิน!AJ38"")"),16)</f>
        <v>16</v>
      </c>
      <c r="K379" s="497">
        <f t="shared" ca="1" si="164"/>
        <v>2.1621621621621623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IFERROR(__xludf.DUMMYFUNCTION("IMPORTRANGE(""https://docs.google.com/spreadsheets/d/1XWAQStnk-4SwqDmLtmXYiTMKHgktTP8We1SCoS47DrQ/edit?usp=sharing"",""จัดที่ดิน!AK38"")"),218.93)</f>
        <v>218.93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IFERROR(__xludf.DUMMYFUNCTION("IMPORTRANGE(""https://docs.google.com/spreadsheets/d/1QqKyyYR6Q21VydFLVH3TRQUabQu_ym0Zz7PgGX0-kHA/edit?usp=sharing"",""แผน!EU38"")"),740)</f>
        <v>740</v>
      </c>
      <c r="J381" s="270">
        <f ca="1">IFERROR(__xludf.DUMMYFUNCTION("IMPORTRANGE(""https://docs.google.com/spreadsheets/d/1XWAQStnk-4SwqDmLtmXYiTMKHgktTP8We1SCoS47DrQ/edit?usp=sharing"",""จัดที่ดิน!AL38"")"),16)</f>
        <v>16</v>
      </c>
      <c r="K381" s="497">
        <f t="shared" ca="1" si="164"/>
        <v>2.1621621621621623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IFERROR(__xludf.DUMMYFUNCTION("IMPORTRANGE(""https://docs.google.com/spreadsheets/d/1XWAQStnk-4SwqDmLtmXYiTMKHgktTP8We1SCoS47DrQ/edit?usp=sharing"",""จัดที่ดิน!AM38"")"),218.93)</f>
        <v>218.93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IFERROR(__xludf.DUMMYFUNCTION("IMPORTRANGE(""https://docs.google.com/spreadsheets/d/1QqKyyYR6Q21VydFLVH3TRQUabQu_ym0Zz7PgGX0-kHA/edit?usp=sharing"",""แผน!EW38"")"),50)</f>
        <v>50</v>
      </c>
      <c r="J385" s="500">
        <f ca="1">IFERROR(__xludf.DUMMYFUNCTION("IMPORTRANGE(""https://docs.google.com/spreadsheets/d/1XWAQStnk-4SwqDmLtmXYiTMKHgktTP8We1SCoS47DrQ/edit?usp=sharing"",""จัดที่ดิน!AP38"")"),0)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3094033</v>
      </c>
      <c r="M414" s="548">
        <f t="shared" si="181"/>
        <v>0</v>
      </c>
      <c r="N414" s="548">
        <f t="shared" si="181"/>
        <v>300545</v>
      </c>
      <c r="O414" s="548">
        <f ca="1">IF(L414&gt;0,N414*100/L414,0)</f>
        <v>9.7136973005782412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si="184"/>
        <v>0</v>
      </c>
      <c r="N419" s="155">
        <f t="shared" si="184"/>
        <v>13980</v>
      </c>
      <c r="O419" s="155">
        <f t="shared" ref="O419:O424" ca="1" si="185">IF(L419&gt;0,N419*100/L419,0)</f>
        <v>17.549585739392416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79660</v>
      </c>
      <c r="M421" s="93">
        <f t="shared" si="187"/>
        <v>0</v>
      </c>
      <c r="N421" s="93">
        <f t="shared" si="187"/>
        <v>13980</v>
      </c>
      <c r="O421" s="93">
        <f t="shared" ca="1" si="185"/>
        <v>17.549585739392416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si="188"/>
        <v>0</v>
      </c>
      <c r="N422" s="497">
        <f t="shared" si="188"/>
        <v>13980</v>
      </c>
      <c r="O422" s="497">
        <f t="shared" ca="1" si="185"/>
        <v>17.549585739392416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v>0</v>
      </c>
      <c r="N424" s="93">
        <f>N425+N426+N427+N428</f>
        <v>13980</v>
      </c>
      <c r="O424" s="93">
        <f t="shared" ca="1" si="185"/>
        <v>17.549585739392416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13480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IFERROR(__xludf.DUMMYFUNCTION("IMPORTRANGE(""https://docs.google.com/spreadsheets/d/1QqKyyYR6Q21VydFLVH3TRQUabQu_ym0Zz7PgGX0-kHA/edit?usp=sharing"",""แผน!FC38"")"),20)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IFERROR(__xludf.DUMMYFUNCTION("IMPORTRANGE(""https://docs.google.com/spreadsheets/d/1QqKyyYR6Q21VydFLVH3TRQUabQu_ym0Zz7PgGX0-kHA/edit?usp=sharing"",""แผน!FD38"")"),0)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IFERROR(__xludf.DUMMYFUNCTION("IMPORTRANGE(""https://docs.google.com/spreadsheets/d/1QqKyyYR6Q21VydFLVH3TRQUabQu_ym0Zz7PgGX0-kHA/edit?usp=sharing"",""แผน!FF38"")"),20)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55</v>
      </c>
      <c r="J442" s="584">
        <f t="shared" si="195"/>
        <v>0</v>
      </c>
      <c r="K442" s="585">
        <f t="shared" ca="1" si="194"/>
        <v>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550</v>
      </c>
      <c r="J443" s="564">
        <f t="shared" si="196"/>
        <v>0</v>
      </c>
      <c r="K443" s="565">
        <f t="shared" ca="1" si="194"/>
        <v>0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si="197"/>
        <v>0</v>
      </c>
      <c r="N444" s="195">
        <f t="shared" si="197"/>
        <v>39000</v>
      </c>
      <c r="O444" s="195">
        <f t="shared" ref="O444:O449" ca="1" si="198">IF(L444&gt;0,N444*100/L444,0)</f>
        <v>5.4355400696864109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717500</v>
      </c>
      <c r="M446" s="93">
        <f t="shared" si="200"/>
        <v>0</v>
      </c>
      <c r="N446" s="93">
        <f t="shared" si="200"/>
        <v>39000</v>
      </c>
      <c r="O446" s="93">
        <f t="shared" ca="1" si="198"/>
        <v>5.4355400696864109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si="201"/>
        <v>0</v>
      </c>
      <c r="N447" s="497">
        <f t="shared" si="201"/>
        <v>39000</v>
      </c>
      <c r="O447" s="497">
        <f t="shared" ca="1" si="198"/>
        <v>5.4355400696864109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v>0</v>
      </c>
      <c r="N449" s="93">
        <f>N450+N451+N452+N453</f>
        <v>39000</v>
      </c>
      <c r="O449" s="93">
        <f t="shared" ca="1" si="198"/>
        <v>5.4355400696864109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IFERROR(__xludf.DUMMYFUNCTION("IMPORTRANGE(""https://docs.google.com/spreadsheets/d/1QqKyyYR6Q21VydFLVH3TRQUabQu_ym0Zz7PgGX0-kHA/edit?usp=sharing"",""แผน!FX38"")"),131)</f>
        <v>131</v>
      </c>
      <c r="J465" s="584">
        <f>J485+J489+J492</f>
        <v>131</v>
      </c>
      <c r="K465" s="585">
        <f t="shared" ref="K465:K466" ca="1" si="205">IF(I465&gt;0,J465*100/I465,0)</f>
        <v>100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IFERROR(__xludf.DUMMYFUNCTION("IMPORTRANGE(""https://docs.google.com/spreadsheets/d/1QqKyyYR6Q21VydFLVH3TRQUabQu_ym0Zz7PgGX0-kHA/edit?usp=sharing"",""แผน!FW38"")"),1300)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si="206"/>
        <v>0</v>
      </c>
      <c r="N467" s="195">
        <f t="shared" si="206"/>
        <v>113370</v>
      </c>
      <c r="O467" s="195">
        <f t="shared" ref="O467:O472" ca="1" si="207">IF(L467&gt;0,N467*100/L467,0)</f>
        <v>9.7049397004540445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1168168</v>
      </c>
      <c r="M469" s="93">
        <f t="shared" si="209"/>
        <v>0</v>
      </c>
      <c r="N469" s="93">
        <f t="shared" si="209"/>
        <v>113370</v>
      </c>
      <c r="O469" s="93">
        <f t="shared" ca="1" si="207"/>
        <v>9.7049397004540445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si="210"/>
        <v>0</v>
      </c>
      <c r="N470" s="497">
        <f t="shared" si="210"/>
        <v>113370</v>
      </c>
      <c r="O470" s="497">
        <f t="shared" ca="1" si="207"/>
        <v>9.7049397004540445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v>0</v>
      </c>
      <c r="N472" s="93">
        <f>N473+N474+N475+N476</f>
        <v>113370</v>
      </c>
      <c r="O472" s="93">
        <f t="shared" ca="1" si="207"/>
        <v>9.7049397004540445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66030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39000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8340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IFERROR(__xludf.DUMMYFUNCTION("IMPORTRANGE(""https://docs.google.com/spreadsheets/d/1QqKyyYR6Q21VydFLVH3TRQUabQu_ym0Zz7PgGX0-kHA/edit?usp=sharing"",""แผน!GU38"")"),0)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52289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542720</v>
      </c>
      <c r="M544" s="155">
        <f t="shared" si="236"/>
        <v>0</v>
      </c>
      <c r="N544" s="155">
        <f t="shared" si="236"/>
        <v>92095</v>
      </c>
      <c r="O544" s="155">
        <f t="shared" ref="O544:O549" ca="1" si="237">IF(L544&gt;0,N544*100/L544,0)</f>
        <v>16.969155365566039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542720</v>
      </c>
      <c r="M546" s="93">
        <f t="shared" si="240"/>
        <v>0</v>
      </c>
      <c r="N546" s="93">
        <f t="shared" si="240"/>
        <v>92095</v>
      </c>
      <c r="O546" s="93">
        <f t="shared" ca="1" si="237"/>
        <v>16.969155365566039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542720</v>
      </c>
      <c r="M547" s="497">
        <f t="shared" si="241"/>
        <v>0</v>
      </c>
      <c r="N547" s="497">
        <f t="shared" si="241"/>
        <v>92095</v>
      </c>
      <c r="O547" s="497">
        <f t="shared" ca="1" si="237"/>
        <v>16.969155365566039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IFERROR(__xludf.DUMMYFUNCTION("IMPORTRANGE(""https://docs.google.com/spreadsheets/d/1QqKyyYR6Q21VydFLVH3TRQUabQu_ym0Zz7PgGX0-kHA/edit?usp=sharing"",""แผน!HB38"")"),542720)</f>
        <v>542720</v>
      </c>
      <c r="M549" s="93">
        <v>0</v>
      </c>
      <c r="N549" s="93">
        <f>N550+N551+N552+N553+N554</f>
        <v>92095</v>
      </c>
      <c r="O549" s="93">
        <f t="shared" ca="1" si="237"/>
        <v>16.969155365566039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53095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52289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7857.35</v>
      </c>
      <c r="J592" s="702">
        <f t="shared" si="253"/>
        <v>10</v>
      </c>
      <c r="K592" s="671">
        <f t="shared" ref="K592:K594" ca="1" si="254">IF(I592&gt;0,J592*100/I592,0)</f>
        <v>0.12726937198928392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10</v>
      </c>
      <c r="K593" s="411">
        <f t="shared" ca="1" si="254"/>
        <v>0.12726937198928392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5</v>
      </c>
      <c r="K594" s="411">
        <f t="shared" ca="1" si="254"/>
        <v>0.76103500761035003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10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10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IFERROR(__xludf.DUMMYFUNCTION("IMPORTRANGE(""https://docs.google.com/spreadsheets/d/1QqKyyYR6Q21VydFLVH3TRQUabQu_ym0Zz7PgGX0-kHA/edit?usp=sharing"",""แผน!HL38"")"),56)</f>
        <v>56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IFERROR(__xludf.DUMMYFUNCTION("IMPORTRANGE(""https://docs.google.com/spreadsheets/d/1QqKyyYR6Q21VydFLVH3TRQUabQu_ym0Zz7PgGX0-kHA/edit?usp=sharing"",""แผน!HK38"")"),4)</f>
        <v>4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240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si="263"/>
        <v>0</v>
      </c>
      <c r="N629" s="195">
        <f t="shared" si="263"/>
        <v>39000</v>
      </c>
      <c r="O629" s="195">
        <f t="shared" ref="O629:O634" ca="1" si="264">IF(L629&gt;0,N629*100/L629,0)</f>
        <v>7.7817129745099018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501175</v>
      </c>
      <c r="M631" s="93">
        <f t="shared" si="266"/>
        <v>0</v>
      </c>
      <c r="N631" s="93">
        <f t="shared" si="266"/>
        <v>39000</v>
      </c>
      <c r="O631" s="93">
        <f t="shared" ca="1" si="264"/>
        <v>7.7817129745099018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si="267"/>
        <v>0</v>
      </c>
      <c r="N632" s="497">
        <f t="shared" si="267"/>
        <v>39000</v>
      </c>
      <c r="O632" s="497">
        <f t="shared" ca="1" si="264"/>
        <v>7.7817129745099018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v>0</v>
      </c>
      <c r="N634" s="93">
        <f>N635+N636+N637+N638</f>
        <v>39000</v>
      </c>
      <c r="O634" s="93">
        <f t="shared" ca="1" si="264"/>
        <v>7.7817129745099018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79">
        <v>39000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IFERROR(__xludf.DUMMYFUNCTION("IMPORTRANGE(""https://docs.google.com/spreadsheets/d/1XWAQStnk-4SwqDmLtmXYiTMKHgktTP8We1SCoS47DrQ/edit?usp=sharing"",""จัดที่ดิน!AU38"")"),136)</f>
        <v>136</v>
      </c>
      <c r="K647" s="163">
        <f t="shared" ca="1" si="271"/>
        <v>56.666666666666664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IFERROR(__xludf.DUMMYFUNCTION("IMPORTRANGE(""https://docs.google.com/spreadsheets/d/1XWAQStnk-4SwqDmLtmXYiTMKHgktTP8We1SCoS47DrQ/edit?usp=sharing"",""จัดที่ดิน!AZ38"")"),0)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100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si="273"/>
        <v>0</v>
      </c>
      <c r="N655" s="195">
        <f t="shared" si="273"/>
        <v>3100</v>
      </c>
      <c r="O655" s="195">
        <f t="shared" ref="O655:O660" ca="1" si="274">IF(L655&gt;0,N655*100/L655,0)</f>
        <v>19.871794871794872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15600</v>
      </c>
      <c r="M657" s="93">
        <f t="shared" si="276"/>
        <v>0</v>
      </c>
      <c r="N657" s="93">
        <f t="shared" si="276"/>
        <v>3100</v>
      </c>
      <c r="O657" s="93">
        <f t="shared" ca="1" si="274"/>
        <v>19.871794871794872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si="277"/>
        <v>0</v>
      </c>
      <c r="N658" s="497">
        <f t="shared" si="277"/>
        <v>3100</v>
      </c>
      <c r="O658" s="497">
        <f t="shared" ca="1" si="274"/>
        <v>19.871794871794872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v>0</v>
      </c>
      <c r="N660" s="93">
        <f>N661+N662+N663+N664</f>
        <v>3100</v>
      </c>
      <c r="O660" s="93">
        <f t="shared" ca="1" si="274"/>
        <v>19.871794871794872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2100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1000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IFERROR(__xludf.DUMMYFUNCTION("IMPORTRANGE(""https://docs.google.com/spreadsheets/d/1QqKyyYR6Q21VydFLVH3TRQUabQu_ym0Zz7PgGX0-kHA/edit?usp=sharing"",""แผน!IA38"")"),100)</f>
        <v>100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880">
        <v>42.48</v>
      </c>
      <c r="K672" s="497">
        <f t="shared" ref="K672:K675" ca="1" si="281">IF(I$669&gt;0,J672*100/I$669,0)</f>
        <v>42.48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IFERROR(__xludf.DUMMYFUNCTION("IMPORTRANGE(""https://docs.google.com/spreadsheets/d/1QqKyyYR6Q21VydFLVH3TRQUabQu_ym0Zz7PgGX0-kHA/edit?usp=sharing"",""แผน!IB38"")"),0)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69210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IFERROR(__xludf.DUMMYFUNCTION("IMPORTRANGE(""https://docs.google.com/spreadsheets/d/1QqKyyYR6Q21VydFLVH3TRQUabQu_ym0Zz7PgGX0-kHA/edit?usp=sharing"",""แผน!IE38"")"),10)</f>
        <v>10</v>
      </c>
      <c r="J701" s="675">
        <f>J704+J707</f>
        <v>75</v>
      </c>
      <c r="K701" s="195">
        <f t="shared" ca="1" si="290"/>
        <v>750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8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12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IFERROR(__xludf.DUMMYFUNCTION("IMPORTRANGE(""https://docs.google.com/spreadsheets/d/1QqKyyYR6Q21VydFLVH3TRQUabQu_ym0Zz7PgGX0-kHA/edit?usp=sharing"",""แผน!IH38"")"),0)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IFERROR(__xludf.DUMMYFUNCTION("IMPORTRANGE(""https://docs.google.com/spreadsheets/d/1QqKyyYR6Q21VydFLVH3TRQUabQu_ym0Zz7PgGX0-kHA/edit?usp=sharing"",""แผน!IJ38"")"),2)</f>
        <v>2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IFERROR(__xludf.DUMMYFUNCTION("IMPORTRANGE(""https://docs.google.com/spreadsheets/d/1QqKyyYR6Q21VydFLVH3TRQUabQu_ym0Zz7PgGX0-kHA/edit?usp=sharing"",""แผน!IK38"")"),10)</f>
        <v>10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IFERROR(__xludf.DUMMYFUNCTION("IMPORTRANGE(""https://docs.google.com/spreadsheets/d/1XWAQStnk-4SwqDmLtmXYiTMKHgktTP8We1SCoS47DrQ/edit?usp=sharing"",""จัดที่ดิน!BN38"")"),0)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IFERROR(__xludf.DUMMYFUNCTION("IMPORTRANGE(""https://docs.google.com/spreadsheets/d/1QqKyyYR6Q21VydFLVH3TRQUabQu_ym0Zz7PgGX0-kHA/edit?usp=sharing"",""แผน!IP38"")"),657)</f>
        <v>657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IFERROR(__xludf.DUMMYFUNCTION("IMPORTRANGE(""https://docs.google.com/spreadsheets/d/19vJNZY_5yjcGF2XGBMNZRCAIB0Kwfpjp8YEOfu-bneM/edit?usp=sharing"",""งานกองทุน!F38"")"),865141.49)</f>
        <v>865141.49</v>
      </c>
      <c r="K821" s="497">
        <f t="shared" ref="K821:K828" ca="1" si="335">IF(I821&gt;0,J821*100/I821,0)</f>
        <v>17.181243773264562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IFERROR(__xludf.DUMMYFUNCTION("IMPORTRANGE(""https://docs.google.com/spreadsheets/d/19vJNZY_5yjcGF2XGBMNZRCAIB0Kwfpjp8YEOfu-bneM/edit?usp=sharing"",""งานกองทุน!E38"")"),56)</f>
        <v>56</v>
      </c>
      <c r="K822" s="497">
        <f t="shared" ca="1" si="335"/>
        <v>19.047619047619047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IFERROR(__xludf.DUMMYFUNCTION("IMPORTRANGE(""https://docs.google.com/spreadsheets/d/19vJNZY_5yjcGF2XGBMNZRCAIB0Kwfpjp8YEOfu-bneM/edit?usp=sharing"",""งานกองทุน!K38"")"),643286.93)</f>
        <v>643286.93000000005</v>
      </c>
      <c r="K823" s="497">
        <f t="shared" ca="1" si="335"/>
        <v>23.369092889032892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IFERROR(__xludf.DUMMYFUNCTION("IMPORTRANGE(""https://docs.google.com/spreadsheets/d/19vJNZY_5yjcGF2XGBMNZRCAIB0Kwfpjp8YEOfu-bneM/edit?usp=sharing"",""งานกองทุน!J38"")"),54)</f>
        <v>54</v>
      </c>
      <c r="K824" s="497">
        <f t="shared" ca="1" si="335"/>
        <v>40.298507462686565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IFERROR(__xludf.DUMMYFUNCTION("IMPORTRANGE(""https://docs.google.com/spreadsheets/d/19vJNZY_5yjcGF2XGBMNZRCAIB0Kwfpjp8YEOfu-bneM/edit?usp=sharing"",""งานกองทุน!P38"")"),297010.22)</f>
        <v>297010.21999999997</v>
      </c>
      <c r="K825" s="497">
        <f t="shared" ca="1" si="335"/>
        <v>12.102542150522147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IFERROR(__xludf.DUMMYFUNCTION("IMPORTRANGE(""https://docs.google.com/spreadsheets/d/19vJNZY_5yjcGF2XGBMNZRCAIB0Kwfpjp8YEOfu-bneM/edit?usp=sharing"",""งานกองทุน!O38"")"),32)</f>
        <v>32</v>
      </c>
      <c r="K826" s="497">
        <f t="shared" ca="1" si="335"/>
        <v>13.675213675213675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IFERROR(__xludf.DUMMYFUNCTION("IMPORTRANGE(""https://docs.google.com/spreadsheets/d/19vJNZY_5yjcGF2XGBMNZRCAIB0Kwfpjp8YEOfu-bneM/edit?usp=sharing"",""งานกองทุน!U38"")"),1100000)</f>
        <v>1100000</v>
      </c>
      <c r="K827" s="497">
        <f t="shared" ca="1" si="335"/>
        <v>27.848101265822784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IFERROR(__xludf.DUMMYFUNCTION("IMPORTRANGE(""https://docs.google.com/spreadsheets/d/19vJNZY_5yjcGF2XGBMNZRCAIB0Kwfpjp8YEOfu-bneM/edit?usp=sharing"",""งานกองทุน!R38"")"),158)</f>
        <v>158</v>
      </c>
      <c r="J828" s="500">
        <f ca="1">IFERROR(__xludf.DUMMYFUNCTION("IMPORTRANGE(""https://docs.google.com/spreadsheets/d/19vJNZY_5yjcGF2XGBMNZRCAIB0Kwfpjp8YEOfu-bneM/edit?usp=sharing"",""งานกองทุน!T38"")"),44)</f>
        <v>44</v>
      </c>
      <c r="K828" s="501">
        <f t="shared" ca="1" si="335"/>
        <v>27.848101265822784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09C61F-219C-4D22-8E17-EE79245E113B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activeCell="A2" sqref="A2:P2"/>
      <selection pane="bottomLeft" activeCell="A2" sqref="A2:P2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6" width="17.5703125" customWidth="1"/>
  </cols>
  <sheetData>
    <row r="1" spans="1:26" ht="19.5">
      <c r="A1" s="901" t="s">
        <v>0</v>
      </c>
      <c r="B1" s="902"/>
      <c r="C1" s="902"/>
      <c r="D1" s="902"/>
      <c r="E1" s="902"/>
      <c r="F1" s="902"/>
      <c r="G1" s="902"/>
      <c r="H1" s="902"/>
      <c r="I1" s="902"/>
      <c r="J1" s="902"/>
      <c r="K1" s="902"/>
      <c r="L1" s="902"/>
      <c r="M1" s="902"/>
      <c r="N1" s="902"/>
      <c r="O1" s="902"/>
      <c r="P1" s="902"/>
    </row>
    <row r="2" spans="1:26" ht="19.5">
      <c r="A2" s="901" t="s">
        <v>343</v>
      </c>
      <c r="B2" s="902"/>
      <c r="C2" s="902"/>
      <c r="D2" s="902"/>
      <c r="E2" s="902"/>
      <c r="F2" s="902"/>
      <c r="G2" s="902"/>
      <c r="H2" s="902"/>
      <c r="I2" s="902"/>
      <c r="J2" s="902"/>
      <c r="K2" s="902"/>
      <c r="L2" s="902"/>
      <c r="M2" s="902"/>
      <c r="N2" s="902"/>
      <c r="O2" s="902"/>
      <c r="P2" s="902"/>
    </row>
    <row r="3" spans="1:26" ht="19.5">
      <c r="A3" s="901" t="s">
        <v>330</v>
      </c>
      <c r="B3" s="902"/>
      <c r="C3" s="902"/>
      <c r="D3" s="902"/>
      <c r="E3" s="902"/>
      <c r="F3" s="902"/>
      <c r="G3" s="902"/>
      <c r="H3" s="902"/>
      <c r="I3" s="902"/>
      <c r="J3" s="902"/>
      <c r="K3" s="902"/>
      <c r="L3" s="902"/>
      <c r="M3" s="902"/>
      <c r="N3" s="902"/>
      <c r="O3" s="902"/>
      <c r="P3" s="90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907" t="s">
        <v>2</v>
      </c>
      <c r="B5" s="902"/>
      <c r="C5" s="902"/>
      <c r="D5" s="902"/>
      <c r="E5" s="902"/>
      <c r="F5" s="902"/>
      <c r="G5" s="908"/>
      <c r="H5" s="903" t="s">
        <v>3</v>
      </c>
      <c r="I5" s="904" t="s">
        <v>4</v>
      </c>
      <c r="J5" s="897"/>
      <c r="K5" s="898"/>
      <c r="L5" s="905" t="s">
        <v>5</v>
      </c>
      <c r="M5" s="898"/>
      <c r="N5" s="906" t="s">
        <v>6</v>
      </c>
      <c r="O5" s="897"/>
      <c r="P5" s="898"/>
    </row>
    <row r="6" spans="1:26" ht="19.5">
      <c r="A6" s="909"/>
      <c r="B6" s="897"/>
      <c r="C6" s="897"/>
      <c r="D6" s="897"/>
      <c r="E6" s="897"/>
      <c r="F6" s="897"/>
      <c r="G6" s="898"/>
      <c r="H6" s="898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96" t="s">
        <v>15</v>
      </c>
      <c r="B7" s="897"/>
      <c r="C7" s="897"/>
      <c r="D7" s="897"/>
      <c r="E7" s="897"/>
      <c r="F7" s="897"/>
      <c r="G7" s="898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3164893</v>
      </c>
      <c r="N8" s="22">
        <f t="shared" ca="1" si="0"/>
        <v>2244049.85</v>
      </c>
      <c r="O8" s="22">
        <f t="shared" ref="O8:O16" ca="1" si="1">IF(L8&gt;0,N8*100/L8,0)</f>
        <v>33.079827929751445</v>
      </c>
      <c r="P8" s="22">
        <f t="shared" ref="P8:P16" ca="1" si="2">IF(M8&gt;0,N8*100/M8,0)</f>
        <v>70.904446058681927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3164893</v>
      </c>
      <c r="N10" s="30">
        <f t="shared" ca="1" si="3"/>
        <v>2244049.85</v>
      </c>
      <c r="O10" s="30">
        <f t="shared" ca="1" si="1"/>
        <v>33.079827929751445</v>
      </c>
      <c r="P10" s="30">
        <f t="shared" ca="1" si="2"/>
        <v>70.904446058681927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17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2583893</v>
      </c>
      <c r="N11" s="497">
        <f t="shared" ca="1" si="4"/>
        <v>1663049.85</v>
      </c>
      <c r="O11" s="497">
        <f t="shared" ca="1" si="1"/>
        <v>26.811531385882468</v>
      </c>
      <c r="P11" s="497">
        <f t="shared" ca="1" si="2"/>
        <v>64.362179471053949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1"/>
      <c r="J12" s="611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1"/>
      <c r="J13" s="611"/>
      <c r="K13" s="93"/>
      <c r="L13" s="93">
        <f t="shared" ca="1" si="5"/>
        <v>6202741</v>
      </c>
      <c r="M13" s="93">
        <f t="shared" ca="1" si="5"/>
        <v>2583893</v>
      </c>
      <c r="N13" s="93">
        <f t="shared" ca="1" si="5"/>
        <v>1663049.85</v>
      </c>
      <c r="O13" s="93">
        <f t="shared" ca="1" si="1"/>
        <v>26.811531385882468</v>
      </c>
      <c r="P13" s="93">
        <f t="shared" ca="1" si="2"/>
        <v>64.362179471053949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17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1"/>
      <c r="J15" s="611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96" t="s">
        <v>22</v>
      </c>
      <c r="B17" s="897"/>
      <c r="C17" s="897"/>
      <c r="D17" s="897"/>
      <c r="E17" s="897"/>
      <c r="F17" s="897"/>
      <c r="G17" s="898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3164893</v>
      </c>
      <c r="N18" s="22">
        <f t="shared" ca="1" si="8"/>
        <v>1856836.45</v>
      </c>
      <c r="O18" s="22">
        <f t="shared" ref="O18:O26" ca="1" si="9">IF(L18&gt;0,N18*100/L18,0)</f>
        <v>42.67597691662926</v>
      </c>
      <c r="P18" s="22">
        <f t="shared" ref="P18:P26" ca="1" si="10">IF(M18&gt;0,N18*100/M18,0)</f>
        <v>58.669801791087409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3164893</v>
      </c>
      <c r="N20" s="30">
        <f t="shared" ca="1" si="11"/>
        <v>1856836.45</v>
      </c>
      <c r="O20" s="30">
        <f t="shared" ca="1" si="9"/>
        <v>42.67597691662926</v>
      </c>
      <c r="P20" s="30">
        <f t="shared" ca="1" si="10"/>
        <v>58.669801791087409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17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2583893</v>
      </c>
      <c r="N21" s="497">
        <f t="shared" ca="1" si="12"/>
        <v>1275836.45</v>
      </c>
      <c r="O21" s="497">
        <f t="shared" ca="1" si="9"/>
        <v>33.841716907457297</v>
      </c>
      <c r="P21" s="497">
        <f t="shared" ca="1" si="10"/>
        <v>49.376520235164534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1"/>
      <c r="J22" s="611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1"/>
      <c r="J23" s="611"/>
      <c r="K23" s="93"/>
      <c r="L23" s="93">
        <f t="shared" ca="1" si="13"/>
        <v>3770011</v>
      </c>
      <c r="M23" s="93">
        <f t="shared" ca="1" si="13"/>
        <v>2583893</v>
      </c>
      <c r="N23" s="93">
        <f t="shared" ca="1" si="13"/>
        <v>1275836.45</v>
      </c>
      <c r="O23" s="93">
        <f t="shared" ca="1" si="9"/>
        <v>33.841716907457297</v>
      </c>
      <c r="P23" s="93">
        <f t="shared" ca="1" si="10"/>
        <v>49.376520235164534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17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1"/>
      <c r="J25" s="611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96" t="s">
        <v>23</v>
      </c>
      <c r="B27" s="897"/>
      <c r="C27" s="897"/>
      <c r="D27" s="897"/>
      <c r="E27" s="897"/>
      <c r="F27" s="897"/>
      <c r="G27" s="898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si="16"/>
        <v>0</v>
      </c>
      <c r="N28" s="22">
        <f t="shared" si="16"/>
        <v>387213.4</v>
      </c>
      <c r="O28" s="22">
        <f t="shared" ref="O28:O37" ca="1" si="17">IF(L28&gt;0,N28*100/L28,0)</f>
        <v>15.916825952736227</v>
      </c>
      <c r="P28" s="22">
        <f t="shared" ref="P28:P37" si="18">IF(M28&gt;0,N28*100/M28,0)</f>
        <v>0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si="19"/>
        <v>0</v>
      </c>
      <c r="N30" s="30">
        <f t="shared" si="19"/>
        <v>387213.4</v>
      </c>
      <c r="O30" s="30">
        <f t="shared" ca="1" si="17"/>
        <v>15.916825952736227</v>
      </c>
      <c r="P30" s="30">
        <f t="shared" si="18"/>
        <v>0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17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si="20"/>
        <v>0</v>
      </c>
      <c r="N31" s="497">
        <f t="shared" si="20"/>
        <v>387213.4</v>
      </c>
      <c r="O31" s="497">
        <f t="shared" ca="1" si="17"/>
        <v>15.916825952736227</v>
      </c>
      <c r="P31" s="497">
        <f t="shared" si="18"/>
        <v>0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1"/>
      <c r="J32" s="611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1"/>
      <c r="J33" s="611"/>
      <c r="K33" s="93"/>
      <c r="L33" s="93">
        <f t="shared" ca="1" si="21"/>
        <v>2432730</v>
      </c>
      <c r="M33" s="93">
        <f t="shared" si="21"/>
        <v>0</v>
      </c>
      <c r="N33" s="93">
        <f t="shared" si="21"/>
        <v>387213.4</v>
      </c>
      <c r="O33" s="93">
        <f t="shared" ca="1" si="17"/>
        <v>15.916825952736227</v>
      </c>
      <c r="P33" s="93">
        <f t="shared" si="18"/>
        <v>0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17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1"/>
      <c r="J35" s="611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37" t="s">
        <v>24</v>
      </c>
      <c r="B37" s="838"/>
      <c r="C37" s="838"/>
      <c r="D37" s="838"/>
      <c r="E37" s="838"/>
      <c r="F37" s="838"/>
      <c r="G37" s="839"/>
      <c r="H37" s="840"/>
      <c r="I37" s="841"/>
      <c r="J37" s="841"/>
      <c r="K37" s="842"/>
      <c r="L37" s="843">
        <f t="shared" ref="L37:N37" ca="1" si="24">L41+L53+L66+L88+L119+L132+L149+L165+L181+L261+L277+L298+L315+L328+L345+L389+L402</f>
        <v>4351011</v>
      </c>
      <c r="M37" s="843">
        <f t="shared" ca="1" si="24"/>
        <v>3164893</v>
      </c>
      <c r="N37" s="843">
        <f t="shared" ca="1" si="24"/>
        <v>1856836.45</v>
      </c>
      <c r="O37" s="843">
        <f t="shared" ca="1" si="17"/>
        <v>42.67597691662926</v>
      </c>
      <c r="P37" s="843">
        <f t="shared" ca="1" si="18"/>
        <v>58.669801791087409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99" t="s">
        <v>27</v>
      </c>
      <c r="C40" s="888"/>
      <c r="D40" s="888"/>
      <c r="E40" s="888"/>
      <c r="F40" s="888"/>
      <c r="G40" s="894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44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523183</v>
      </c>
      <c r="N41" s="85">
        <f t="shared" ca="1" si="25"/>
        <v>239769</v>
      </c>
      <c r="O41" s="85">
        <f t="shared" ref="O41:O49" ca="1" si="26">IF(L41&gt;0,N41*100/L41,0)</f>
        <v>46.620817583648325</v>
      </c>
      <c r="P41" s="85">
        <f t="shared" ref="P41:P49" ca="1" si="27">IF(M41&gt;0,N41*100/M41,0)</f>
        <v>45.828897345670633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523183</v>
      </c>
      <c r="N43" s="92">
        <f t="shared" ca="1" si="28"/>
        <v>239769</v>
      </c>
      <c r="O43" s="92">
        <f t="shared" ca="1" si="26"/>
        <v>46.620817583648325</v>
      </c>
      <c r="P43" s="92">
        <f t="shared" ca="1" si="27"/>
        <v>45.828897345670633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17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523183</v>
      </c>
      <c r="N44" s="497">
        <f t="shared" ca="1" si="29"/>
        <v>239769</v>
      </c>
      <c r="O44" s="497">
        <f t="shared" ca="1" si="26"/>
        <v>46.620817583648325</v>
      </c>
      <c r="P44" s="497">
        <f t="shared" ca="1" si="27"/>
        <v>45.828897345670633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1"/>
      <c r="J45" s="611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1"/>
      <c r="J46" s="611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IFERROR(__xludf.DUMMYFUNCTION("IMPORTRANGE(""https://docs.google.com/spreadsheets/d/1MeEWN-I1oV_STSDYn1IFDPWt_1FKiwhDph83XaGc0o0/edit?usp=sharing"",""งบพรบ!R39"")"),523183)</f>
        <v>523183</v>
      </c>
      <c r="N46" s="93">
        <f ca="1">IFERROR(__xludf.DUMMYFUNCTION("IMPORTRANGE(""https://docs.google.com/spreadsheets/d/1MeEWN-I1oV_STSDYn1IFDPWt_1FKiwhDph83XaGc0o0/edit?usp=sharing"",""งบพรบ!T39"")"),239769)</f>
        <v>239769</v>
      </c>
      <c r="O46" s="93">
        <f t="shared" ca="1" si="26"/>
        <v>46.620817583648325</v>
      </c>
      <c r="P46" s="93">
        <f t="shared" ca="1" si="27"/>
        <v>45.828897345670633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17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1"/>
      <c r="J48" s="611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900" t="s">
        <v>28</v>
      </c>
      <c r="B50" s="897"/>
      <c r="C50" s="897"/>
      <c r="D50" s="897"/>
      <c r="E50" s="897"/>
      <c r="F50" s="897"/>
      <c r="G50" s="898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93" t="s">
        <v>29</v>
      </c>
      <c r="C51" s="888"/>
      <c r="D51" s="888"/>
      <c r="E51" s="888"/>
      <c r="F51" s="888"/>
      <c r="G51" s="894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45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509400</v>
      </c>
      <c r="N53" s="116">
        <f t="shared" ca="1" si="31"/>
        <v>243384.92</v>
      </c>
      <c r="O53" s="116">
        <f t="shared" ref="O53:O61" ca="1" si="32">IF(L53&gt;0,N53*100/L53,0)</f>
        <v>35.834057714958774</v>
      </c>
      <c r="P53" s="116">
        <f t="shared" ref="P53:P61" ca="1" si="33">IF(M53&gt;0,N53*100/M53,0)</f>
        <v>47.778743619945033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509400</v>
      </c>
      <c r="N55" s="123">
        <f t="shared" ca="1" si="34"/>
        <v>243384.92</v>
      </c>
      <c r="O55" s="123">
        <f t="shared" ca="1" si="32"/>
        <v>35.834057714958774</v>
      </c>
      <c r="P55" s="123">
        <f t="shared" ca="1" si="33"/>
        <v>47.778743619945033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17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509400</v>
      </c>
      <c r="N56" s="497">
        <f t="shared" ca="1" si="35"/>
        <v>243384.92</v>
      </c>
      <c r="O56" s="497">
        <f t="shared" ca="1" si="32"/>
        <v>35.834057714958774</v>
      </c>
      <c r="P56" s="497">
        <f t="shared" ca="1" si="33"/>
        <v>47.778743619945033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1"/>
      <c r="J57" s="611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1"/>
      <c r="J58" s="611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IFERROR(__xludf.DUMMYFUNCTION("IMPORTRANGE(""https://docs.google.com/spreadsheets/d/1MeEWN-I1oV_STSDYn1IFDPWt_1FKiwhDph83XaGc0o0/edit?usp=sharing"",""งบพรบ!AB39"")"),509400)</f>
        <v>509400</v>
      </c>
      <c r="N58" s="93">
        <f ca="1">IFERROR(__xludf.DUMMYFUNCTION("IMPORTRANGE(""https://docs.google.com/spreadsheets/d/1MeEWN-I1oV_STSDYn1IFDPWt_1FKiwhDph83XaGc0o0/edit?usp=sharing"",""งบพรบ!AD39"")"),243384.92)</f>
        <v>243384.92</v>
      </c>
      <c r="O58" s="93">
        <f t="shared" ca="1" si="32"/>
        <v>35.834057714958774</v>
      </c>
      <c r="P58" s="93">
        <f t="shared" ca="1" si="33"/>
        <v>47.778743619945033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17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1"/>
      <c r="J60" s="611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2</v>
      </c>
      <c r="K64" s="145">
        <f t="shared" ref="K64:K65" ca="1" si="38">IF(I64&gt;0,J64*100/I64,0)</f>
        <v>66.666666666666671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77</v>
      </c>
      <c r="K65" s="145">
        <f t="shared" ca="1" si="38"/>
        <v>70.642201834862391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46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927550</v>
      </c>
      <c r="N66" s="155">
        <f t="shared" ca="1" si="39"/>
        <v>407611.23</v>
      </c>
      <c r="O66" s="155">
        <f t="shared" ref="O66:O74" ca="1" si="40">IF(L66&gt;0,N66*100/L66,0)</f>
        <v>25.133261191268961</v>
      </c>
      <c r="P66" s="155">
        <f t="shared" ref="P66:P74" ca="1" si="41">IF(M66&gt;0,N66*100/M66,0)</f>
        <v>43.944933426769445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1"/>
      <c r="J67" s="611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1"/>
      <c r="J68" s="611"/>
      <c r="K68" s="93"/>
      <c r="L68" s="93">
        <f t="shared" ca="1" si="42"/>
        <v>1621800</v>
      </c>
      <c r="M68" s="93">
        <f t="shared" ca="1" si="42"/>
        <v>927550</v>
      </c>
      <c r="N68" s="93">
        <f t="shared" ca="1" si="42"/>
        <v>407611.23</v>
      </c>
      <c r="O68" s="93">
        <f t="shared" ca="1" si="40"/>
        <v>25.133261191268961</v>
      </c>
      <c r="P68" s="93">
        <f t="shared" ca="1" si="41"/>
        <v>43.944933426769445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927550</v>
      </c>
      <c r="N69" s="497">
        <f t="shared" ca="1" si="43"/>
        <v>407611.23</v>
      </c>
      <c r="O69" s="497">
        <f t="shared" ca="1" si="40"/>
        <v>25.133261191268961</v>
      </c>
      <c r="P69" s="497">
        <f t="shared" ca="1" si="41"/>
        <v>43.944933426769445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IFERROR(__xludf.DUMMYFUNCTION("IMPORTRANGE(""https://docs.google.com/spreadsheets/d/1MeEWN-I1oV_STSDYn1IFDPWt_1FKiwhDph83XaGc0o0/edit?usp=sharing"",""งบพรบ!AL39"")"),927550)</f>
        <v>927550</v>
      </c>
      <c r="N71" s="93">
        <f ca="1">IFERROR(__xludf.DUMMYFUNCTION("IMPORTRANGE(""https://docs.google.com/spreadsheets/d/1MeEWN-I1oV_STSDYn1IFDPWt_1FKiwhDph83XaGc0o0/edit?usp=sharing"",""งบพรบ!AN39"")"),407611.23)</f>
        <v>407611.23</v>
      </c>
      <c r="O71" s="93">
        <f t="shared" ca="1" si="40"/>
        <v>25.133261191268961</v>
      </c>
      <c r="P71" s="93">
        <f t="shared" ca="1" si="41"/>
        <v>43.944933426769445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47" t="s">
        <v>38</v>
      </c>
      <c r="E75" s="173"/>
      <c r="F75" s="173"/>
      <c r="G75" s="174"/>
      <c r="H75" s="756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2</v>
      </c>
      <c r="K76" s="163">
        <f t="shared" ref="K76:K84" ca="1" si="46">IF(I76&gt;0,J76*100/I76,0)</f>
        <v>66.666666666666671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77</v>
      </c>
      <c r="K77" s="163">
        <f t="shared" ca="1" si="46"/>
        <v>70.642201834862391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58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58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58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58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58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58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46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73430</v>
      </c>
      <c r="N88" s="155">
        <f t="shared" ca="1" si="49"/>
        <v>40406</v>
      </c>
      <c r="O88" s="155">
        <f t="shared" ref="O88:O96" ca="1" si="50">IF(L88&gt;0,N88*100/L88,0)</f>
        <v>36.441197691197694</v>
      </c>
      <c r="P88" s="155">
        <f t="shared" ref="P88:P96" ca="1" si="51">IF(M88&gt;0,N88*100/M88,0)</f>
        <v>55.026555903581645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1"/>
      <c r="J89" s="611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1"/>
      <c r="J90" s="611"/>
      <c r="K90" s="93"/>
      <c r="L90" s="93">
        <f t="shared" ca="1" si="52"/>
        <v>110880</v>
      </c>
      <c r="M90" s="93">
        <f t="shared" ca="1" si="52"/>
        <v>73430</v>
      </c>
      <c r="N90" s="93">
        <f t="shared" ca="1" si="52"/>
        <v>40406</v>
      </c>
      <c r="O90" s="93">
        <f t="shared" ca="1" si="50"/>
        <v>36.441197691197694</v>
      </c>
      <c r="P90" s="93">
        <f t="shared" ca="1" si="51"/>
        <v>55.026555903581645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73430</v>
      </c>
      <c r="N91" s="497">
        <f t="shared" ca="1" si="53"/>
        <v>40406</v>
      </c>
      <c r="O91" s="497">
        <f t="shared" ca="1" si="50"/>
        <v>36.441197691197694</v>
      </c>
      <c r="P91" s="497">
        <f t="shared" ca="1" si="51"/>
        <v>55.026555903581645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IFERROR(__xludf.DUMMYFUNCTION("IMPORTRANGE(""https://docs.google.com/spreadsheets/d/1MeEWN-I1oV_STSDYn1IFDPWt_1FKiwhDph83XaGc0o0/edit?usp=sharing"",""งบพรบ!AV39"")"),73430)</f>
        <v>73430</v>
      </c>
      <c r="N93" s="93">
        <f ca="1">IFERROR(__xludf.DUMMYFUNCTION("IMPORTRANGE(""https://docs.google.com/spreadsheets/d/1MeEWN-I1oV_STSDYn1IFDPWt_1FKiwhDph83XaGc0o0/edit?usp=sharing"",""งบพรบ!AX39"")"),40406)</f>
        <v>40406</v>
      </c>
      <c r="O93" s="93">
        <f t="shared" ca="1" si="50"/>
        <v>36.441197691197694</v>
      </c>
      <c r="P93" s="93">
        <f t="shared" ca="1" si="51"/>
        <v>55.026555903581645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47" t="s">
        <v>38</v>
      </c>
      <c r="E97" s="173"/>
      <c r="F97" s="173"/>
      <c r="G97" s="174"/>
      <c r="H97" s="756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17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17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17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17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0" t="s">
        <v>47</v>
      </c>
      <c r="F102" s="178"/>
      <c r="G102" s="179"/>
      <c r="H102" s="617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17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17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17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17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17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17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1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5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5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26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0</v>
      </c>
      <c r="K118" s="146">
        <f>IF(I118&gt;0,J118*100/I118,0)</f>
        <v>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46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1"/>
      <c r="J120" s="611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1"/>
      <c r="J121" s="611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46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400800</v>
      </c>
      <c r="N132" s="155">
        <f t="shared" ca="1" si="69"/>
        <v>388590</v>
      </c>
      <c r="O132" s="155">
        <f t="shared" ref="O132:O140" ca="1" si="70">IF(L132&gt;0,N132*100/L132,0)</f>
        <v>85.410965678678579</v>
      </c>
      <c r="P132" s="155">
        <f t="shared" ref="P132:P140" ca="1" si="71">IF(M132&gt;0,N132*100/M132,0)</f>
        <v>96.953592814371262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1"/>
      <c r="J133" s="611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1"/>
      <c r="J134" s="611"/>
      <c r="K134" s="93"/>
      <c r="L134" s="93">
        <f t="shared" ca="1" si="72"/>
        <v>454965</v>
      </c>
      <c r="M134" s="93">
        <f t="shared" ca="1" si="72"/>
        <v>400800</v>
      </c>
      <c r="N134" s="93">
        <f t="shared" ca="1" si="72"/>
        <v>388590</v>
      </c>
      <c r="O134" s="93">
        <f t="shared" ca="1" si="70"/>
        <v>85.410965678678579</v>
      </c>
      <c r="P134" s="93">
        <f t="shared" ca="1" si="71"/>
        <v>96.953592814371262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91800</v>
      </c>
      <c r="N135" s="497">
        <f t="shared" ca="1" si="73"/>
        <v>79590</v>
      </c>
      <c r="O135" s="497">
        <f t="shared" ca="1" si="70"/>
        <v>54.526770116123728</v>
      </c>
      <c r="P135" s="497">
        <f t="shared" ca="1" si="71"/>
        <v>86.699346405228752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IFERROR(__xludf.DUMMYFUNCTION("IMPORTRANGE(""https://docs.google.com/spreadsheets/d/1MeEWN-I1oV_STSDYn1IFDPWt_1FKiwhDph83XaGc0o0/edit?usp=sharing"",""งบพรบ!BP39"")"),91800)</f>
        <v>91800</v>
      </c>
      <c r="N137" s="93">
        <f ca="1">IFERROR(__xludf.DUMMYFUNCTION("IMPORTRANGE(""https://docs.google.com/spreadsheets/d/1MeEWN-I1oV_STSDYn1IFDPWt_1FKiwhDph83XaGc0o0/edit?usp=sharing"",""งบพรบ!BR39"")"),79590)</f>
        <v>79590</v>
      </c>
      <c r="O137" s="93">
        <f t="shared" ca="1" si="70"/>
        <v>54.526770116123728</v>
      </c>
      <c r="P137" s="93">
        <f t="shared" ca="1" si="71"/>
        <v>86.699346405228752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47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20</v>
      </c>
      <c r="K145" s="497">
        <f t="shared" ca="1" si="75"/>
        <v>66.666666666666671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48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46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1"/>
      <c r="J150" s="611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1"/>
      <c r="J151" s="611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47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1"/>
      <c r="J160" s="611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49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0</v>
      </c>
      <c r="K164" s="254">
        <f ca="1">IF(I164&gt;0,J164*100/I164,0)</f>
        <v>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46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1"/>
      <c r="J166" s="611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1"/>
      <c r="J167" s="611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47" t="s">
        <v>38</v>
      </c>
      <c r="E175" s="173"/>
      <c r="F175" s="173"/>
      <c r="G175" s="174"/>
      <c r="H175" s="756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0" t="s">
        <v>85</v>
      </c>
      <c r="E176" s="178"/>
      <c r="F176" s="178"/>
      <c r="G176" s="179"/>
      <c r="H176" s="617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56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46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40500</v>
      </c>
      <c r="N181" s="155">
        <f t="shared" ca="1" si="92"/>
        <v>20500</v>
      </c>
      <c r="O181" s="155">
        <f t="shared" ref="O181:O189" ca="1" si="93">IF(L181&gt;0,N181*100/L181,0)</f>
        <v>36.936936936936938</v>
      </c>
      <c r="P181" s="155">
        <f t="shared" ref="P181:P189" ca="1" si="94">IF(M181&gt;0,N181*100/M181,0)</f>
        <v>50.617283950617285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1"/>
      <c r="J182" s="611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1"/>
      <c r="J183" s="611"/>
      <c r="K183" s="93"/>
      <c r="L183" s="93">
        <f t="shared" ca="1" si="95"/>
        <v>55500</v>
      </c>
      <c r="M183" s="93">
        <f t="shared" ca="1" si="95"/>
        <v>40500</v>
      </c>
      <c r="N183" s="93">
        <f t="shared" ca="1" si="95"/>
        <v>20500</v>
      </c>
      <c r="O183" s="93">
        <f t="shared" ca="1" si="93"/>
        <v>36.936936936936938</v>
      </c>
      <c r="P183" s="93">
        <f t="shared" ca="1" si="94"/>
        <v>50.617283950617285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40500</v>
      </c>
      <c r="N184" s="497">
        <f t="shared" ca="1" si="96"/>
        <v>20500</v>
      </c>
      <c r="O184" s="497">
        <f t="shared" ca="1" si="93"/>
        <v>36.936936936936938</v>
      </c>
      <c r="P184" s="497">
        <f t="shared" ca="1" si="94"/>
        <v>50.617283950617285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IFERROR(__xludf.DUMMYFUNCTION("IMPORTRANGE(""https://docs.google.com/spreadsheets/d/1MeEWN-I1oV_STSDYn1IFDPWt_1FKiwhDph83XaGc0o0/edit?usp=sharing"",""งบพรบ!CT39"")"),40500)</f>
        <v>40500</v>
      </c>
      <c r="N186" s="93">
        <f ca="1">IFERROR(__xludf.DUMMYFUNCTION("IMPORTRANGE(""https://docs.google.com/spreadsheets/d/1MeEWN-I1oV_STSDYn1IFDPWt_1FKiwhDph83XaGc0o0/edit?usp=sharing"",""งบพรบ!CV39"")"),20500)</f>
        <v>20500</v>
      </c>
      <c r="O186" s="93">
        <f t="shared" ca="1" si="93"/>
        <v>36.936936936936938</v>
      </c>
      <c r="P186" s="93">
        <f t="shared" ca="1" si="94"/>
        <v>50.617283950617285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50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1915</v>
      </c>
      <c r="O191" s="155">
        <f ca="1">IF(L191&gt;0,N191*100/L191,0)</f>
        <v>31.916666666666668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47" t="s">
        <v>38</v>
      </c>
      <c r="E192" s="173"/>
      <c r="F192" s="173"/>
      <c r="G192" s="174"/>
      <c r="H192" s="756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58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1</v>
      </c>
      <c r="K197" s="273">
        <f ca="1">IF(I197&gt;0,J197*100/I197,0)</f>
        <v>50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50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17200</v>
      </c>
      <c r="O198" s="155">
        <f ca="1">IF(L198&gt;0,N198*100/L198,0)</f>
        <v>55.483870967741936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4">
        <v>1200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17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4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17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4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17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4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47" t="s">
        <v>38</v>
      </c>
      <c r="E203" s="173"/>
      <c r="F203" s="173"/>
      <c r="G203" s="174"/>
      <c r="H203" s="756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56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1</v>
      </c>
      <c r="K204" s="163">
        <f ca="1">IF(I204&gt;0,J204*100/I204,0)</f>
        <v>50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56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26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50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4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4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4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47" t="s">
        <v>38</v>
      </c>
      <c r="E213" s="173"/>
      <c r="F213" s="173"/>
      <c r="G213" s="174"/>
      <c r="H213" s="756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56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56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50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4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4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4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47" t="s">
        <v>38</v>
      </c>
      <c r="E221" s="173"/>
      <c r="F221" s="173"/>
      <c r="G221" s="174"/>
      <c r="H221" s="756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56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58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58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58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51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52"/>
      <c r="P227" s="852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1"/>
      <c r="J229" s="611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1"/>
      <c r="J230" s="611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1"/>
      <c r="J231" s="611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1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1">
        <f t="shared" ref="I233:J233" ca="1" si="108">I244+I255</f>
        <v>0</v>
      </c>
      <c r="J233" s="611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1"/>
      <c r="J234" s="611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1">
        <f t="shared" ref="I235:J236" si="109">I246+I257</f>
        <v>0</v>
      </c>
      <c r="J235" s="611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1">
        <f t="shared" si="109"/>
        <v>0</v>
      </c>
      <c r="J236" s="611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46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53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53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53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53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47" t="s">
        <v>38</v>
      </c>
      <c r="E243" s="173"/>
      <c r="F243" s="173"/>
      <c r="G243" s="174"/>
      <c r="H243" s="756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58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54" t="s">
        <v>43</v>
      </c>
      <c r="E245" s="178"/>
      <c r="F245" s="178"/>
      <c r="G245" s="179"/>
      <c r="H245" s="758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58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58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50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53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53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53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53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47" t="s">
        <v>38</v>
      </c>
      <c r="E254" s="173"/>
      <c r="F254" s="173"/>
      <c r="G254" s="174"/>
      <c r="H254" s="756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58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54" t="s">
        <v>43</v>
      </c>
      <c r="E256" s="178"/>
      <c r="F256" s="178"/>
      <c r="G256" s="179"/>
      <c r="H256" s="758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58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58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46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23900</v>
      </c>
      <c r="N261" s="155">
        <f t="shared" ca="1" si="116"/>
        <v>21150</v>
      </c>
      <c r="O261" s="155">
        <f t="shared" ref="O261:O269" ca="1" si="117">IF(L261&gt;0,N261*100/L261,0)</f>
        <v>78.624535315985128</v>
      </c>
      <c r="P261" s="155">
        <f t="shared" ref="P261:P269" ca="1" si="118">IF(M261&gt;0,N261*100/M261,0)</f>
        <v>88.493723849372387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1"/>
      <c r="J262" s="611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1"/>
      <c r="J263" s="611"/>
      <c r="K263" s="93"/>
      <c r="L263" s="93">
        <f t="shared" ca="1" si="119"/>
        <v>26900</v>
      </c>
      <c r="M263" s="93">
        <f t="shared" ca="1" si="119"/>
        <v>23900</v>
      </c>
      <c r="N263" s="93">
        <f t="shared" ca="1" si="119"/>
        <v>21150</v>
      </c>
      <c r="O263" s="93">
        <f t="shared" ca="1" si="117"/>
        <v>78.624535315985128</v>
      </c>
      <c r="P263" s="93">
        <f t="shared" ca="1" si="118"/>
        <v>88.493723849372387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23900</v>
      </c>
      <c r="N264" s="497">
        <f t="shared" ca="1" si="120"/>
        <v>21150</v>
      </c>
      <c r="O264" s="497">
        <f t="shared" ca="1" si="117"/>
        <v>78.624535315985128</v>
      </c>
      <c r="P264" s="497">
        <f t="shared" ca="1" si="118"/>
        <v>88.493723849372387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IFERROR(__xludf.DUMMYFUNCTION("IMPORTRANGE(""https://docs.google.com/spreadsheets/d/1MeEWN-I1oV_STSDYn1IFDPWt_1FKiwhDph83XaGc0o0/edit?usp=sharing"",""งบพรบ!DD39"")"),23900)</f>
        <v>23900</v>
      </c>
      <c r="N266" s="93">
        <f ca="1">IFERROR(__xludf.DUMMYFUNCTION("IMPORTRANGE(""https://docs.google.com/spreadsheets/d/1MeEWN-I1oV_STSDYn1IFDPWt_1FKiwhDph83XaGc0o0/edit?usp=sharing"",""งบพรบ!DF39"")"),21150)</f>
        <v>21150</v>
      </c>
      <c r="O266" s="93">
        <f t="shared" ca="1" si="117"/>
        <v>78.624535315985128</v>
      </c>
      <c r="P266" s="93">
        <f t="shared" ca="1" si="118"/>
        <v>88.493723849372387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47" t="s">
        <v>38</v>
      </c>
      <c r="E270" s="173"/>
      <c r="F270" s="173"/>
      <c r="G270" s="174"/>
      <c r="H270" s="756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0">
        <v>0</v>
      </c>
      <c r="J272" s="500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55">
        <f t="shared" ref="I276:J276" ca="1" si="124">I287</f>
        <v>0</v>
      </c>
      <c r="J276" s="855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46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1"/>
      <c r="J278" s="611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1"/>
      <c r="J279" s="611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47" t="s">
        <v>38</v>
      </c>
      <c r="E286" s="173"/>
      <c r="F286" s="173"/>
      <c r="G286" s="174"/>
      <c r="H286" s="756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0" t="s">
        <v>130</v>
      </c>
      <c r="E288" s="171"/>
      <c r="F288" s="178"/>
      <c r="G288" s="179"/>
      <c r="H288" s="180" t="s">
        <v>35</v>
      </c>
      <c r="I288" s="675">
        <f ca="1">IFERROR(__xludf.DUMMYFUNCTION("IMPORTRANGE(""https://docs.google.com/spreadsheets/d/1QqKyyYR6Q21VydFLVH3TRQUabQu_ym0Zz7PgGX0-kHA/edit?usp=sharing"",""แผน!EB39"")"),0)</f>
        <v>0</v>
      </c>
      <c r="J288" s="675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58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0" t="s">
        <v>132</v>
      </c>
      <c r="F290" s="178"/>
      <c r="G290" s="179"/>
      <c r="H290" s="758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0" t="s">
        <v>344</v>
      </c>
      <c r="F291" s="178"/>
      <c r="G291" s="179"/>
      <c r="H291" s="758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0" t="s">
        <v>132</v>
      </c>
      <c r="F293" s="178"/>
      <c r="G293" s="179"/>
      <c r="H293" s="758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28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46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1"/>
      <c r="J299" s="611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1"/>
      <c r="J300" s="611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47" t="s">
        <v>38</v>
      </c>
      <c r="E307" s="173"/>
      <c r="F307" s="173"/>
      <c r="G307" s="174"/>
      <c r="H307" s="756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58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58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58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58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58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46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1"/>
      <c r="J316" s="611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1"/>
      <c r="J317" s="611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47" t="s">
        <v>38</v>
      </c>
      <c r="E324" s="173"/>
      <c r="F324" s="173"/>
      <c r="G324" s="174"/>
      <c r="H324" s="756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17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556</v>
      </c>
      <c r="K327" s="445">
        <f ca="1">IF(I327&gt;0,J327*100/I327,0)</f>
        <v>55.6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46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80500</v>
      </c>
      <c r="N328" s="155">
        <f t="shared" ca="1" si="149"/>
        <v>71319</v>
      </c>
      <c r="O328" s="155">
        <f t="shared" ref="O328:O336" ca="1" si="150">IF(L328&gt;0,N328*100/L328,0)</f>
        <v>44.29751552795031</v>
      </c>
      <c r="P328" s="155">
        <f t="shared" ref="P328:P336" ca="1" si="151">IF(M328&gt;0,N328*100/M328,0)</f>
        <v>88.59503105590062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1"/>
      <c r="J329" s="611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1"/>
      <c r="J330" s="611"/>
      <c r="K330" s="93"/>
      <c r="L330" s="93">
        <f t="shared" ca="1" si="152"/>
        <v>161000</v>
      </c>
      <c r="M330" s="93">
        <f t="shared" ca="1" si="152"/>
        <v>80500</v>
      </c>
      <c r="N330" s="93">
        <f t="shared" ca="1" si="152"/>
        <v>71319</v>
      </c>
      <c r="O330" s="93">
        <f t="shared" ca="1" si="150"/>
        <v>44.29751552795031</v>
      </c>
      <c r="P330" s="93">
        <f t="shared" ca="1" si="151"/>
        <v>88.59503105590062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80500</v>
      </c>
      <c r="N331" s="497">
        <f t="shared" ca="1" si="153"/>
        <v>71319</v>
      </c>
      <c r="O331" s="497">
        <f t="shared" ca="1" si="150"/>
        <v>44.29751552795031</v>
      </c>
      <c r="P331" s="497">
        <f t="shared" ca="1" si="151"/>
        <v>88.59503105590062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IFERROR(__xludf.DUMMYFUNCTION("IMPORTRANGE(""https://docs.google.com/spreadsheets/d/1MeEWN-I1oV_STSDYn1IFDPWt_1FKiwhDph83XaGc0o0/edit?usp=sharing"",""งบพรบ!ER39"")"),80500)</f>
        <v>80500</v>
      </c>
      <c r="N333" s="93">
        <f ca="1">IFERROR(__xludf.DUMMYFUNCTION("IMPORTRANGE(""https://docs.google.com/spreadsheets/d/1MeEWN-I1oV_STSDYn1IFDPWt_1FKiwhDph83XaGc0o0/edit?usp=sharing"",""งบพรบ!ET39"")"),71319)</f>
        <v>71319</v>
      </c>
      <c r="O333" s="93">
        <f t="shared" ca="1" si="150"/>
        <v>44.29751552795031</v>
      </c>
      <c r="P333" s="93">
        <f t="shared" ca="1" si="151"/>
        <v>88.59503105590062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47" t="s">
        <v>38</v>
      </c>
      <c r="E337" s="173"/>
      <c r="F337" s="173"/>
      <c r="G337" s="174"/>
      <c r="H337" s="756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IFERROR(__xludf.DUMMYFUNCTION("IMPORTRANGE(""https://docs.google.com/spreadsheets/d/1kVcqe37tkHyjCSG3S0O1AXqVkqjo8mSIZil3BcpIysc/edit?usp=sharing"",""ศูนย์!D39"")"),515)</f>
        <v>515</v>
      </c>
      <c r="K338" s="497">
        <f ca="1">IF(I338&gt;0,J338*100/I338,0)</f>
        <v>51.5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IFERROR(__xludf.DUMMYFUNCTION("IMPORTRANGE(""https://docs.google.com/spreadsheets/d/1kVcqe37tkHyjCSG3S0O1AXqVkqjo8mSIZil3BcpIysc/edit?usp=sharing"",""ศูนย์!F39"")"),41)</f>
        <v>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46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350570</v>
      </c>
      <c r="N345" s="155">
        <f t="shared" ca="1" si="155"/>
        <v>189046.3</v>
      </c>
      <c r="O345" s="155">
        <f t="shared" ref="O345:O353" ca="1" si="156">IF(L345&gt;0,N345*100/L345,0)</f>
        <v>38.470177652062432</v>
      </c>
      <c r="P345" s="155">
        <f t="shared" ref="P345:P353" ca="1" si="157">IF(M345&gt;0,N345*100/M345,0)</f>
        <v>53.925407193998346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1"/>
      <c r="J346" s="611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1"/>
      <c r="J347" s="611"/>
      <c r="K347" s="93"/>
      <c r="L347" s="93">
        <f t="shared" ca="1" si="158"/>
        <v>491410</v>
      </c>
      <c r="M347" s="93">
        <f t="shared" ca="1" si="158"/>
        <v>350570</v>
      </c>
      <c r="N347" s="93">
        <f t="shared" ca="1" si="158"/>
        <v>189046.3</v>
      </c>
      <c r="O347" s="93">
        <f t="shared" ca="1" si="156"/>
        <v>38.470177652062432</v>
      </c>
      <c r="P347" s="93">
        <f t="shared" ca="1" si="157"/>
        <v>53.925407193998346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290570</v>
      </c>
      <c r="N348" s="497">
        <f t="shared" ca="1" si="159"/>
        <v>129046.3</v>
      </c>
      <c r="O348" s="497">
        <f t="shared" ca="1" si="156"/>
        <v>29.91268167172759</v>
      </c>
      <c r="P348" s="497">
        <f t="shared" ca="1" si="157"/>
        <v>44.411432701242383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IFERROR(__xludf.DUMMYFUNCTION("IMPORTRANGE(""https://docs.google.com/spreadsheets/d/1MeEWN-I1oV_STSDYn1IFDPWt_1FKiwhDph83XaGc0o0/edit?usp=sharing"",""งบพรบ!FB39"")"),290570)</f>
        <v>290570</v>
      </c>
      <c r="N350" s="93">
        <f ca="1">IFERROR(__xludf.DUMMYFUNCTION("IMPORTRANGE(""https://docs.google.com/spreadsheets/d/1MeEWN-I1oV_STSDYn1IFDPWt_1FKiwhDph83XaGc0o0/edit?usp=sharing"",""งบพรบ!FD39"")"),129046.3)</f>
        <v>129046.3</v>
      </c>
      <c r="O350" s="93">
        <f t="shared" ca="1" si="156"/>
        <v>29.91268167172759</v>
      </c>
      <c r="P350" s="93">
        <f t="shared" ca="1" si="157"/>
        <v>44.411432701242383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56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57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0</v>
      </c>
      <c r="K355" s="465">
        <f ca="1">IF(I355&gt;0,J355*100/I355,0)</f>
        <v>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47" t="s">
        <v>38</v>
      </c>
      <c r="E357" s="173"/>
      <c r="F357" s="173"/>
      <c r="G357" s="174"/>
      <c r="H357" s="756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IFERROR(__xludf.DUMMYFUNCTION("IMPORTRANGE(""https://docs.google.com/spreadsheets/d/1XWAQStnk-4SwqDmLtmXYiTMKHgktTP8We1SCoS47DrQ/edit?usp=sharing"",""จัดที่ดิน!W39"")"),27)</f>
        <v>27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IFERROR(__xludf.DUMMYFUNCTION("IMPORTRANGE(""https://docs.google.com/spreadsheets/d/1XWAQStnk-4SwqDmLtmXYiTMKHgktTP8We1SCoS47DrQ/edit?usp=sharing"",""จัดที่ดิน!X39"")"),345.32)</f>
        <v>345.32</v>
      </c>
      <c r="K359" s="497">
        <f t="shared" ca="1" si="161"/>
        <v>30.027826086956523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58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IFERROR(__xludf.DUMMYFUNCTION("IMPORTRANGE(""https://docs.google.com/spreadsheets/d/1XWAQStnk-4SwqDmLtmXYiTMKHgktTP8We1SCoS47DrQ/edit?usp=sharing"",""จัดที่ดิน!Y39"")"),27)</f>
        <v>27</v>
      </c>
      <c r="K360" s="497">
        <f t="shared" ca="1" si="161"/>
        <v>23.478260869565219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58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IFERROR(__xludf.DUMMYFUNCTION("IMPORTRANGE(""https://docs.google.com/spreadsheets/d/1XWAQStnk-4SwqDmLtmXYiTMKHgktTP8We1SCoS47DrQ/edit?usp=sharing"",""จัดที่ดิน!Z39"")"),345.32)</f>
        <v>345.32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58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IFERROR(__xludf.DUMMYFUNCTION("IMPORTRANGE(""https://docs.google.com/spreadsheets/d/1XWAQStnk-4SwqDmLtmXYiTMKHgktTP8We1SCoS47DrQ/edit?usp=sharing"",""จัดที่ดิน!AA39"")"),0)</f>
        <v>0</v>
      </c>
      <c r="K362" s="497">
        <f t="shared" ca="1" si="161"/>
        <v>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58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IFERROR(__xludf.DUMMYFUNCTION("IMPORTRANGE(""https://docs.google.com/spreadsheets/d/1XWAQStnk-4SwqDmLtmXYiTMKHgktTP8We1SCoS47DrQ/edit?usp=sharing"",""จัดที่ดิน!AB39"")"),0)</f>
        <v>0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0</v>
      </c>
      <c r="K364" s="479">
        <f t="shared" ca="1" si="161"/>
        <v>0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0</v>
      </c>
      <c r="K365" s="491">
        <f t="shared" ca="1" si="161"/>
        <v>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47" t="s">
        <v>38</v>
      </c>
      <c r="E367" s="173"/>
      <c r="F367" s="173"/>
      <c r="G367" s="174"/>
      <c r="H367" s="756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IFERROR(__xludf.DUMMYFUNCTION("IMPORTRANGE(""https://docs.google.com/spreadsheets/d/1XWAQStnk-4SwqDmLtmXYiTMKHgktTP8We1SCoS47DrQ/edit?usp=sharing"",""จัดที่ดิน!F39"")"),4.71)</f>
        <v>4.71</v>
      </c>
      <c r="K369" s="497">
        <f t="shared" ca="1" si="163"/>
        <v>3.14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58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IFERROR(__xludf.DUMMYFUNCTION("IMPORTRANGE(""https://docs.google.com/spreadsheets/d/1XWAQStnk-4SwqDmLtmXYiTMKHgktTP8We1SCoS47DrQ/edit?usp=sharing"",""จัดที่ดิน!G39"")"),3)</f>
        <v>3</v>
      </c>
      <c r="K370" s="497">
        <f t="shared" ca="1" si="163"/>
        <v>20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58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IFERROR(__xludf.DUMMYFUNCTION("IMPORTRANGE(""https://docs.google.com/spreadsheets/d/1XWAQStnk-4SwqDmLtmXYiTMKHgktTP8We1SCoS47DrQ/edit?usp=sharing"",""จัดที่ดิน!H39"")"),4.71)</f>
        <v>4.71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58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IFERROR(__xludf.DUMMYFUNCTION("IMPORTRANGE(""https://docs.google.com/spreadsheets/d/1XWAQStnk-4SwqDmLtmXYiTMKHgktTP8We1SCoS47DrQ/edit?usp=sharing"",""จัดที่ดิน!I39"")"),0)</f>
        <v>0</v>
      </c>
      <c r="K372" s="497">
        <f t="shared" ca="1" si="163"/>
        <v>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58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IFERROR(__xludf.DUMMYFUNCTION("IMPORTRANGE(""https://docs.google.com/spreadsheets/d/1XWAQStnk-4SwqDmLtmXYiTMKHgktTP8We1SCoS47DrQ/edit?usp=sharing"",""จัดที่ดิน!J39"")"),0)</f>
        <v>0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0</v>
      </c>
      <c r="K374" s="491">
        <f t="shared" ca="1" si="163"/>
        <v>0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47" t="s">
        <v>38</v>
      </c>
      <c r="E376" s="173"/>
      <c r="F376" s="173"/>
      <c r="G376" s="174"/>
      <c r="H376" s="756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IFERROR(__xludf.DUMMYFUNCTION("IMPORTRANGE(""https://docs.google.com/spreadsheets/d/1XWAQStnk-4SwqDmLtmXYiTMKHgktTP8We1SCoS47DrQ/edit?usp=sharing"",""จัดที่ดิน!AH39"")"),30)</f>
        <v>30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IFERROR(__xludf.DUMMYFUNCTION("IMPORTRANGE(""https://docs.google.com/spreadsheets/d/1XWAQStnk-4SwqDmLtmXYiTMKHgktTP8We1SCoS47DrQ/edit?usp=sharing"",""จัดที่ดิน!AI39"")"),483.11)</f>
        <v>483.11</v>
      </c>
      <c r="K378" s="497">
        <f t="shared" ca="1" si="164"/>
        <v>48.311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58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IFERROR(__xludf.DUMMYFUNCTION("IMPORTRANGE(""https://docs.google.com/spreadsheets/d/1XWAQStnk-4SwqDmLtmXYiTMKHgktTP8We1SCoS47DrQ/edit?usp=sharing"",""จัดที่ดิน!AJ39"")"),163)</f>
        <v>163</v>
      </c>
      <c r="K379" s="497">
        <f t="shared" ca="1" si="164"/>
        <v>54.333333333333336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58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IFERROR(__xludf.DUMMYFUNCTION("IMPORTRANGE(""https://docs.google.com/spreadsheets/d/1XWAQStnk-4SwqDmLtmXYiTMKHgktTP8We1SCoS47DrQ/edit?usp=sharing"",""จัดที่ดิน!AK39"")"),1885.87)</f>
        <v>1885.87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58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IFERROR(__xludf.DUMMYFUNCTION("IMPORTRANGE(""https://docs.google.com/spreadsheets/d/1XWAQStnk-4SwqDmLtmXYiTMKHgktTP8We1SCoS47DrQ/edit?usp=sharing"",""จัดที่ดิน!AL39"")"),0)</f>
        <v>0</v>
      </c>
      <c r="K381" s="497">
        <f t="shared" ca="1" si="164"/>
        <v>0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58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IFERROR(__xludf.DUMMYFUNCTION("IMPORTRANGE(""https://docs.google.com/spreadsheets/d/1XWAQStnk-4SwqDmLtmXYiTMKHgktTP8We1SCoS47DrQ/edit?usp=sharing"",""จัดที่ดิน!AM39"")"),0)</f>
        <v>0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56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47" t="s">
        <v>38</v>
      </c>
      <c r="E384" s="173"/>
      <c r="F384" s="173"/>
      <c r="G384" s="174"/>
      <c r="H384" s="756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498" t="s">
        <v>163</v>
      </c>
      <c r="F385" s="381"/>
      <c r="G385" s="382"/>
      <c r="H385" s="499" t="s">
        <v>35</v>
      </c>
      <c r="I385" s="500">
        <f ca="1">IFERROR(__xludf.DUMMYFUNCTION("IMPORTRANGE(""https://docs.google.com/spreadsheets/d/1QqKyyYR6Q21VydFLVH3TRQUabQu_ym0Zz7PgGX0-kHA/edit?usp=sharing"",""แผน!EW39"")"),20)</f>
        <v>20</v>
      </c>
      <c r="J385" s="500">
        <f ca="1">IFERROR(__xludf.DUMMYFUNCTION("IMPORTRANGE(""https://docs.google.com/spreadsheets/d/1XWAQStnk-4SwqDmLtmXYiTMKHgktTP8We1SCoS47DrQ/edit?usp=sharing"",""จัดที่ดิน!AP39"")"),0)</f>
        <v>0</v>
      </c>
      <c r="K385" s="501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2" t="s">
        <v>171</v>
      </c>
      <c r="B386" s="503"/>
      <c r="C386" s="503"/>
      <c r="D386" s="503"/>
      <c r="E386" s="504"/>
      <c r="F386" s="504"/>
      <c r="G386" s="505"/>
      <c r="H386" s="506"/>
      <c r="I386" s="507"/>
      <c r="J386" s="507"/>
      <c r="K386" s="508"/>
      <c r="L386" s="508"/>
      <c r="M386" s="508"/>
      <c r="N386" s="508"/>
      <c r="O386" s="508"/>
      <c r="P386" s="508"/>
    </row>
    <row r="387" spans="1:26" ht="19.5" hidden="1">
      <c r="A387" s="509" t="s">
        <v>172</v>
      </c>
      <c r="B387" s="510"/>
      <c r="C387" s="510"/>
      <c r="D387" s="511"/>
      <c r="E387" s="510"/>
      <c r="F387" s="510"/>
      <c r="G387" s="510"/>
      <c r="H387" s="512"/>
      <c r="I387" s="513"/>
      <c r="J387" s="513"/>
      <c r="K387" s="514"/>
      <c r="L387" s="514"/>
      <c r="M387" s="514"/>
      <c r="N387" s="514"/>
      <c r="O387" s="514"/>
      <c r="P387" s="514"/>
    </row>
    <row r="388" spans="1:26" ht="19.5" hidden="1">
      <c r="A388" s="515"/>
      <c r="B388" s="516" t="s">
        <v>173</v>
      </c>
      <c r="C388" s="517"/>
      <c r="D388" s="518"/>
      <c r="E388" s="518"/>
      <c r="F388" s="518"/>
      <c r="G388" s="519"/>
      <c r="H388" s="520" t="s">
        <v>66</v>
      </c>
      <c r="I388" s="521">
        <f t="shared" ref="I388:J388" si="165">I400</f>
        <v>0</v>
      </c>
      <c r="J388" s="521">
        <f t="shared" si="165"/>
        <v>0</v>
      </c>
      <c r="K388" s="522">
        <f>IF(I388&gt;0,J388*100/I388,0)</f>
        <v>0</v>
      </c>
      <c r="L388" s="523"/>
      <c r="M388" s="523"/>
      <c r="N388" s="523"/>
      <c r="O388" s="523"/>
      <c r="P388" s="523"/>
    </row>
    <row r="389" spans="1:26" ht="19.5" hidden="1">
      <c r="A389" s="147"/>
      <c r="B389" s="148"/>
      <c r="C389" s="149" t="s">
        <v>16</v>
      </c>
      <c r="D389" s="846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1"/>
      <c r="J390" s="611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1"/>
      <c r="J391" s="611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47" t="s">
        <v>38</v>
      </c>
      <c r="E398" s="173"/>
      <c r="F398" s="173"/>
      <c r="G398" s="174"/>
      <c r="H398" s="756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4"/>
      <c r="B399" s="148"/>
      <c r="C399" s="525"/>
      <c r="D399" s="526" t="s">
        <v>174</v>
      </c>
      <c r="E399" s="415"/>
      <c r="F399" s="148"/>
      <c r="G399" s="151"/>
      <c r="H399" s="527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28"/>
      <c r="M399" s="528"/>
      <c r="N399" s="528"/>
      <c r="O399" s="528"/>
      <c r="P399" s="528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175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5"/>
      <c r="B401" s="516" t="s">
        <v>176</v>
      </c>
      <c r="C401" s="517"/>
      <c r="D401" s="518"/>
      <c r="E401" s="518"/>
      <c r="F401" s="518"/>
      <c r="G401" s="519"/>
      <c r="H401" s="520" t="s">
        <v>66</v>
      </c>
      <c r="I401" s="521">
        <f t="shared" ref="I401:J401" si="173">I412</f>
        <v>0</v>
      </c>
      <c r="J401" s="521">
        <f t="shared" si="173"/>
        <v>0</v>
      </c>
      <c r="K401" s="522">
        <f t="shared" si="172"/>
        <v>0</v>
      </c>
      <c r="L401" s="523"/>
      <c r="M401" s="523"/>
      <c r="N401" s="523"/>
      <c r="O401" s="523"/>
      <c r="P401" s="523"/>
    </row>
    <row r="402" spans="1:26" ht="19.5" hidden="1">
      <c r="A402" s="147"/>
      <c r="B402" s="148"/>
      <c r="C402" s="149" t="s">
        <v>16</v>
      </c>
      <c r="D402" s="846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1"/>
      <c r="J403" s="611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1"/>
      <c r="J404" s="611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58" t="s">
        <v>38</v>
      </c>
      <c r="E411" s="530"/>
      <c r="F411" s="530"/>
      <c r="G411" s="531"/>
      <c r="H411" s="756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177</v>
      </c>
      <c r="E412" s="178"/>
      <c r="F412" s="178"/>
      <c r="G412" s="179"/>
      <c r="H412" s="532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3"/>
      <c r="B413" s="534"/>
      <c r="C413" s="534"/>
      <c r="D413" s="535" t="s">
        <v>178</v>
      </c>
      <c r="E413" s="534"/>
      <c r="F413" s="534"/>
      <c r="G413" s="536"/>
      <c r="H413" s="537" t="s">
        <v>179</v>
      </c>
      <c r="I413" s="538">
        <v>0</v>
      </c>
      <c r="J413" s="539">
        <v>0</v>
      </c>
      <c r="K413" s="540">
        <f t="shared" si="180"/>
        <v>0</v>
      </c>
      <c r="L413" s="541"/>
      <c r="M413" s="541"/>
      <c r="N413" s="541"/>
      <c r="O413" s="541"/>
      <c r="P413" s="541"/>
    </row>
    <row r="414" spans="1:26" ht="19.5">
      <c r="A414" s="542" t="s">
        <v>180</v>
      </c>
      <c r="B414" s="543"/>
      <c r="C414" s="543"/>
      <c r="D414" s="543"/>
      <c r="E414" s="543"/>
      <c r="F414" s="543"/>
      <c r="G414" s="544"/>
      <c r="H414" s="545"/>
      <c r="I414" s="546"/>
      <c r="J414" s="546"/>
      <c r="K414" s="547"/>
      <c r="L414" s="548">
        <f t="shared" ref="L414:N414" ca="1" si="181">L419+L444+L467+L502+L523+L544+L629+L655+L685+L737+L754+L770+L786+L805</f>
        <v>2432730</v>
      </c>
      <c r="M414" s="548">
        <f t="shared" si="181"/>
        <v>0</v>
      </c>
      <c r="N414" s="548">
        <f t="shared" si="181"/>
        <v>387213.4</v>
      </c>
      <c r="O414" s="548">
        <f ca="1">IF(L414&gt;0,N414*100/L414,0)</f>
        <v>15.916825952736227</v>
      </c>
      <c r="P414" s="548">
        <f>IF(M414&gt;0,N414*100/M414,0)</f>
        <v>0</v>
      </c>
    </row>
    <row r="415" spans="1:26" ht="19.5">
      <c r="A415" s="549" t="s">
        <v>181</v>
      </c>
      <c r="B415" s="550"/>
      <c r="C415" s="550"/>
      <c r="D415" s="550"/>
      <c r="E415" s="550"/>
      <c r="F415" s="550"/>
      <c r="G415" s="550"/>
      <c r="H415" s="551"/>
      <c r="I415" s="552"/>
      <c r="J415" s="552"/>
      <c r="K415" s="553"/>
      <c r="L415" s="554"/>
      <c r="M415" s="554"/>
      <c r="N415" s="554"/>
      <c r="O415" s="554"/>
      <c r="P415" s="554"/>
    </row>
    <row r="416" spans="1:26" ht="19.5">
      <c r="A416" s="549" t="s">
        <v>182</v>
      </c>
      <c r="B416" s="550"/>
      <c r="C416" s="550"/>
      <c r="D416" s="550"/>
      <c r="E416" s="550"/>
      <c r="F416" s="550"/>
      <c r="G416" s="555"/>
      <c r="H416" s="556"/>
      <c r="I416" s="557"/>
      <c r="J416" s="557"/>
      <c r="K416" s="554"/>
      <c r="L416" s="554"/>
      <c r="M416" s="554"/>
      <c r="N416" s="554"/>
      <c r="O416" s="554"/>
      <c r="P416" s="554"/>
    </row>
    <row r="417" spans="1:26" ht="39">
      <c r="A417" s="558">
        <v>1</v>
      </c>
      <c r="B417" s="560" t="s">
        <v>183</v>
      </c>
      <c r="C417" s="560"/>
      <c r="D417" s="561"/>
      <c r="E417" s="561"/>
      <c r="F417" s="561"/>
      <c r="G417" s="562"/>
      <c r="H417" s="563" t="s">
        <v>35</v>
      </c>
      <c r="I417" s="564">
        <f t="shared" ref="I417:J418" ca="1" si="182">I433</f>
        <v>20</v>
      </c>
      <c r="J417" s="564">
        <f t="shared" ca="1" si="182"/>
        <v>0</v>
      </c>
      <c r="K417" s="565">
        <f t="shared" ref="K417:K418" ca="1" si="183">IF(I417&gt;0,J417*100/I417,0)</f>
        <v>0</v>
      </c>
      <c r="L417" s="566"/>
      <c r="M417" s="566"/>
      <c r="N417" s="566"/>
      <c r="O417" s="566"/>
      <c r="P417" s="566"/>
    </row>
    <row r="418" spans="1:26" ht="19.5">
      <c r="A418" s="567"/>
      <c r="B418" s="558"/>
      <c r="C418" s="560"/>
      <c r="D418" s="561"/>
      <c r="E418" s="561"/>
      <c r="F418" s="561"/>
      <c r="G418" s="562"/>
      <c r="H418" s="563" t="s">
        <v>49</v>
      </c>
      <c r="I418" s="564">
        <f t="shared" ca="1" si="182"/>
        <v>1</v>
      </c>
      <c r="J418" s="564">
        <f t="shared" si="182"/>
        <v>0</v>
      </c>
      <c r="K418" s="565">
        <f t="shared" ca="1" si="183"/>
        <v>0</v>
      </c>
      <c r="L418" s="566"/>
      <c r="M418" s="566"/>
      <c r="N418" s="566"/>
      <c r="O418" s="566"/>
      <c r="P418" s="566"/>
    </row>
    <row r="419" spans="1:26" ht="19.5">
      <c r="A419" s="147"/>
      <c r="B419" s="148"/>
      <c r="C419" s="148" t="s">
        <v>16</v>
      </c>
      <c r="D419" s="911" t="s">
        <v>17</v>
      </c>
      <c r="E419" s="890"/>
      <c r="F419" s="890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si="184"/>
        <v>0</v>
      </c>
      <c r="N419" s="155">
        <f t="shared" si="184"/>
        <v>75276</v>
      </c>
      <c r="O419" s="155">
        <f t="shared" ref="O419:O424" ca="1" si="185">IF(L419&gt;0,N419*100/L419,0)</f>
        <v>76.375811688311686</v>
      </c>
      <c r="P419" s="155">
        <f t="shared" ref="P419:P424" si="186">IF(M419&gt;0,N419*100/M419,0)</f>
        <v>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184</v>
      </c>
      <c r="F420" s="40"/>
      <c r="G420" s="157"/>
      <c r="H420" s="165" t="s">
        <v>12</v>
      </c>
      <c r="I420" s="611"/>
      <c r="J420" s="611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185</v>
      </c>
      <c r="F421" s="40"/>
      <c r="G421" s="157"/>
      <c r="H421" s="165" t="s">
        <v>12</v>
      </c>
      <c r="I421" s="611"/>
      <c r="J421" s="611"/>
      <c r="K421" s="93"/>
      <c r="L421" s="93">
        <f t="shared" ca="1" si="187"/>
        <v>98560</v>
      </c>
      <c r="M421" s="93">
        <f t="shared" si="187"/>
        <v>0</v>
      </c>
      <c r="N421" s="93">
        <f t="shared" si="187"/>
        <v>75276</v>
      </c>
      <c r="O421" s="93">
        <f t="shared" ca="1" si="185"/>
        <v>76.375811688311686</v>
      </c>
      <c r="P421" s="93">
        <f t="shared" si="186"/>
        <v>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si="188"/>
        <v>0</v>
      </c>
      <c r="N422" s="497">
        <f t="shared" si="188"/>
        <v>75276</v>
      </c>
      <c r="O422" s="497">
        <f t="shared" ca="1" si="185"/>
        <v>76.375811688311686</v>
      </c>
      <c r="P422" s="497">
        <f t="shared" si="186"/>
        <v>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184</v>
      </c>
      <c r="F423" s="40"/>
      <c r="G423" s="157"/>
      <c r="H423" s="165" t="s">
        <v>12</v>
      </c>
      <c r="I423" s="611"/>
      <c r="J423" s="611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185</v>
      </c>
      <c r="F424" s="40"/>
      <c r="G424" s="157"/>
      <c r="H424" s="165" t="s">
        <v>12</v>
      </c>
      <c r="I424" s="611"/>
      <c r="J424" s="611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v>0</v>
      </c>
      <c r="N424" s="93">
        <f>N425+N426+N427+N428</f>
        <v>75276</v>
      </c>
      <c r="O424" s="93">
        <f t="shared" ca="1" si="185"/>
        <v>76.375811688311686</v>
      </c>
      <c r="P424" s="93">
        <f t="shared" si="186"/>
        <v>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68"/>
      <c r="B425" s="569"/>
      <c r="C425" s="757"/>
      <c r="D425" s="757"/>
      <c r="E425" s="757"/>
      <c r="F425" s="757" t="s">
        <v>186</v>
      </c>
      <c r="G425" s="189"/>
      <c r="H425" s="161" t="s">
        <v>12</v>
      </c>
      <c r="I425" s="270"/>
      <c r="J425" s="270"/>
      <c r="K425" s="497"/>
      <c r="L425" s="497"/>
      <c r="M425" s="497"/>
      <c r="N425" s="834">
        <v>70556</v>
      </c>
      <c r="O425" s="497"/>
      <c r="P425" s="497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</row>
    <row r="426" spans="1:26" ht="18.75">
      <c r="A426" s="568"/>
      <c r="B426" s="569"/>
      <c r="C426" s="757"/>
      <c r="D426" s="757"/>
      <c r="E426" s="757"/>
      <c r="F426" s="757" t="s">
        <v>187</v>
      </c>
      <c r="G426" s="189"/>
      <c r="H426" s="161" t="s">
        <v>12</v>
      </c>
      <c r="I426" s="270"/>
      <c r="J426" s="270"/>
      <c r="K426" s="497"/>
      <c r="L426" s="497"/>
      <c r="M426" s="497"/>
      <c r="N426" s="834">
        <v>0</v>
      </c>
      <c r="O426" s="497"/>
      <c r="P426" s="497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</row>
    <row r="427" spans="1:26" ht="18.75">
      <c r="A427" s="568"/>
      <c r="B427" s="569"/>
      <c r="C427" s="757"/>
      <c r="D427" s="757"/>
      <c r="E427" s="757"/>
      <c r="F427" s="757" t="s">
        <v>188</v>
      </c>
      <c r="G427" s="189"/>
      <c r="H427" s="161" t="s">
        <v>12</v>
      </c>
      <c r="I427" s="270"/>
      <c r="J427" s="270"/>
      <c r="K427" s="497"/>
      <c r="L427" s="497"/>
      <c r="M427" s="497"/>
      <c r="N427" s="834">
        <v>0</v>
      </c>
      <c r="O427" s="497"/>
      <c r="P427" s="497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</row>
    <row r="428" spans="1:26" ht="18.75">
      <c r="A428" s="284"/>
      <c r="B428" s="281"/>
      <c r="C428" s="33"/>
      <c r="D428" s="33"/>
      <c r="E428" s="33"/>
      <c r="F428" s="282" t="s">
        <v>189</v>
      </c>
      <c r="G428" s="214"/>
      <c r="H428" s="161" t="s">
        <v>12</v>
      </c>
      <c r="I428" s="270"/>
      <c r="J428" s="270"/>
      <c r="K428" s="497"/>
      <c r="L428" s="497"/>
      <c r="M428" s="497"/>
      <c r="N428" s="834">
        <v>4720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59" t="s">
        <v>38</v>
      </c>
      <c r="E432" s="574"/>
      <c r="F432" s="574"/>
      <c r="G432" s="575"/>
      <c r="H432" s="576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190</v>
      </c>
      <c r="E433" s="178"/>
      <c r="F433" s="178"/>
      <c r="G433" s="179"/>
      <c r="H433" s="196" t="s">
        <v>35</v>
      </c>
      <c r="I433" s="675">
        <f ca="1">I435</f>
        <v>20</v>
      </c>
      <c r="J433" s="675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191</v>
      </c>
      <c r="E434" s="178"/>
      <c r="F434" s="178"/>
      <c r="G434" s="179"/>
      <c r="H434" s="196" t="s">
        <v>49</v>
      </c>
      <c r="I434" s="675">
        <f t="shared" ref="I434:J434" ca="1" si="193">I438+I440</f>
        <v>1</v>
      </c>
      <c r="J434" s="675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192</v>
      </c>
      <c r="E435" s="178"/>
      <c r="F435" s="178"/>
      <c r="G435" s="179"/>
      <c r="H435" s="617" t="s">
        <v>35</v>
      </c>
      <c r="I435" s="577">
        <f ca="1">IFERROR(__xludf.DUMMYFUNCTION("IMPORTRANGE(""https://docs.google.com/spreadsheets/d/1QqKyyYR6Q21VydFLVH3TRQUabQu_ym0Zz7PgGX0-kHA/edit?usp=sharing"",""แผน!FC39"")"),20)</f>
        <v>20</v>
      </c>
      <c r="J435" s="578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193</v>
      </c>
      <c r="E436" s="178"/>
      <c r="F436" s="178"/>
      <c r="G436" s="179"/>
      <c r="H436" s="617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194</v>
      </c>
      <c r="E437" s="178"/>
      <c r="F437" s="178"/>
      <c r="G437" s="179"/>
      <c r="H437" s="617" t="s">
        <v>35</v>
      </c>
      <c r="I437" s="577">
        <f ca="1">IFERROR(__xludf.DUMMYFUNCTION("IMPORTRANGE(""https://docs.google.com/spreadsheets/d/1QqKyyYR6Q21VydFLVH3TRQUabQu_ym0Zz7PgGX0-kHA/edit?usp=sharing"",""แผน!FD39"")"),0)</f>
        <v>0</v>
      </c>
      <c r="J437" s="578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195</v>
      </c>
      <c r="E438" s="178"/>
      <c r="F438" s="178"/>
      <c r="G438" s="179"/>
      <c r="H438" s="617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196</v>
      </c>
      <c r="E439" s="178"/>
      <c r="F439" s="178"/>
      <c r="G439" s="179"/>
      <c r="H439" s="617" t="s">
        <v>35</v>
      </c>
      <c r="I439" s="577">
        <f ca="1">IFERROR(__xludf.DUMMYFUNCTION("IMPORTRANGE(""https://docs.google.com/spreadsheets/d/1QqKyyYR6Q21VydFLVH3TRQUabQu_ym0Zz7PgGX0-kHA/edit?usp=sharing"",""แผน!FF39"")"),20)</f>
        <v>20</v>
      </c>
      <c r="J439" s="578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197</v>
      </c>
      <c r="E440" s="178"/>
      <c r="F440" s="178"/>
      <c r="G440" s="179"/>
      <c r="H440" s="617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198</v>
      </c>
      <c r="E441" s="178"/>
      <c r="F441" s="178"/>
      <c r="G441" s="179"/>
      <c r="H441" s="617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79">
        <v>2</v>
      </c>
      <c r="B442" s="580" t="s">
        <v>199</v>
      </c>
      <c r="C442" s="581"/>
      <c r="D442" s="581"/>
      <c r="E442" s="581"/>
      <c r="F442" s="581"/>
      <c r="G442" s="582"/>
      <c r="H442" s="583" t="s">
        <v>35</v>
      </c>
      <c r="I442" s="584">
        <f t="shared" ref="I442:J442" ca="1" si="195">I460</f>
        <v>100</v>
      </c>
      <c r="J442" s="584">
        <f t="shared" si="195"/>
        <v>80</v>
      </c>
      <c r="K442" s="585">
        <f t="shared" ca="1" si="194"/>
        <v>80</v>
      </c>
      <c r="L442" s="586"/>
      <c r="M442" s="586"/>
      <c r="N442" s="586"/>
      <c r="O442" s="586"/>
      <c r="P442" s="586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</row>
    <row r="443" spans="1:26" ht="19.5">
      <c r="A443" s="587"/>
      <c r="B443" s="588"/>
      <c r="C443" s="589"/>
      <c r="D443" s="589"/>
      <c r="E443" s="589"/>
      <c r="F443" s="589"/>
      <c r="G443" s="590"/>
      <c r="H443" s="563" t="s">
        <v>46</v>
      </c>
      <c r="I443" s="564">
        <f t="shared" ref="I443:J443" ca="1" si="196">I462</f>
        <v>240</v>
      </c>
      <c r="J443" s="564">
        <f t="shared" si="196"/>
        <v>200</v>
      </c>
      <c r="K443" s="565">
        <f t="shared" ca="1" si="194"/>
        <v>83.333333333333329</v>
      </c>
      <c r="L443" s="566"/>
      <c r="M443" s="566"/>
      <c r="N443" s="566"/>
      <c r="O443" s="566"/>
      <c r="P443" s="566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</row>
    <row r="444" spans="1:26" ht="19.5">
      <c r="A444" s="591"/>
      <c r="B444" s="757"/>
      <c r="C444" s="757" t="s">
        <v>16</v>
      </c>
      <c r="D444" s="887" t="s">
        <v>17</v>
      </c>
      <c r="E444" s="888"/>
      <c r="F444" s="888"/>
      <c r="G444" s="189"/>
      <c r="H444" s="592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si="197"/>
        <v>0</v>
      </c>
      <c r="N444" s="195">
        <f t="shared" si="197"/>
        <v>120420</v>
      </c>
      <c r="O444" s="195">
        <f t="shared" ref="O444:O449" ca="1" si="198">IF(L444&gt;0,N444*100/L444,0)</f>
        <v>19.603182871877685</v>
      </c>
      <c r="P444" s="195">
        <f t="shared" ref="P444:P449" si="199">IF(M444&gt;0,N444*100/M444,0)</f>
        <v>0</v>
      </c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</row>
    <row r="445" spans="1:26" ht="18.75" hidden="1">
      <c r="A445" s="593"/>
      <c r="B445" s="753"/>
      <c r="C445" s="753"/>
      <c r="D445" s="714"/>
      <c r="E445" s="753" t="s">
        <v>184</v>
      </c>
      <c r="F445" s="753"/>
      <c r="G445" s="597"/>
      <c r="H445" s="165" t="s">
        <v>12</v>
      </c>
      <c r="I445" s="611"/>
      <c r="J445" s="611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598"/>
      <c r="R445" s="598"/>
      <c r="S445" s="598"/>
      <c r="T445" s="598"/>
      <c r="U445" s="598"/>
      <c r="V445" s="598"/>
      <c r="W445" s="598"/>
      <c r="X445" s="598"/>
      <c r="Y445" s="598"/>
      <c r="Z445" s="598"/>
    </row>
    <row r="446" spans="1:26" ht="18.75" hidden="1">
      <c r="A446" s="593"/>
      <c r="B446" s="601"/>
      <c r="C446" s="753"/>
      <c r="D446" s="714"/>
      <c r="E446" s="753" t="s">
        <v>185</v>
      </c>
      <c r="F446" s="753"/>
      <c r="G446" s="597"/>
      <c r="H446" s="165" t="s">
        <v>12</v>
      </c>
      <c r="I446" s="611"/>
      <c r="J446" s="611"/>
      <c r="K446" s="93"/>
      <c r="L446" s="93">
        <f t="shared" ca="1" si="200"/>
        <v>614288</v>
      </c>
      <c r="M446" s="93">
        <f t="shared" si="200"/>
        <v>0</v>
      </c>
      <c r="N446" s="93">
        <f t="shared" si="200"/>
        <v>120420</v>
      </c>
      <c r="O446" s="93">
        <f t="shared" ca="1" si="198"/>
        <v>19.603182871877685</v>
      </c>
      <c r="P446" s="93">
        <f t="shared" si="199"/>
        <v>0</v>
      </c>
      <c r="Q446" s="598"/>
      <c r="R446" s="598"/>
      <c r="S446" s="598"/>
      <c r="T446" s="598"/>
      <c r="U446" s="598"/>
      <c r="V446" s="598"/>
      <c r="W446" s="598"/>
      <c r="X446" s="598"/>
      <c r="Y446" s="598"/>
      <c r="Z446" s="598"/>
    </row>
    <row r="447" spans="1:26" ht="18.75">
      <c r="A447" s="591"/>
      <c r="B447" s="569"/>
      <c r="C447" s="757"/>
      <c r="D447" s="600" t="s">
        <v>20</v>
      </c>
      <c r="E447" s="757"/>
      <c r="F447" s="757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si="201"/>
        <v>0</v>
      </c>
      <c r="N447" s="497">
        <f t="shared" si="201"/>
        <v>120420</v>
      </c>
      <c r="O447" s="497">
        <f t="shared" ca="1" si="198"/>
        <v>19.603182871877685</v>
      </c>
      <c r="P447" s="497">
        <f t="shared" si="199"/>
        <v>0</v>
      </c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</row>
    <row r="448" spans="1:26" ht="18.75" hidden="1">
      <c r="A448" s="593"/>
      <c r="B448" s="601"/>
      <c r="C448" s="753"/>
      <c r="D448" s="714"/>
      <c r="E448" s="753" t="s">
        <v>184</v>
      </c>
      <c r="F448" s="753"/>
      <c r="G448" s="597"/>
      <c r="H448" s="165" t="s">
        <v>12</v>
      </c>
      <c r="I448" s="611"/>
      <c r="J448" s="611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598"/>
      <c r="R448" s="598"/>
      <c r="S448" s="598"/>
      <c r="T448" s="598"/>
      <c r="U448" s="598"/>
      <c r="V448" s="598"/>
      <c r="W448" s="598"/>
      <c r="X448" s="598"/>
      <c r="Y448" s="598"/>
      <c r="Z448" s="598"/>
    </row>
    <row r="449" spans="1:26" ht="18.75" hidden="1">
      <c r="A449" s="593"/>
      <c r="B449" s="601"/>
      <c r="C449" s="753"/>
      <c r="D449" s="714"/>
      <c r="E449" s="753" t="s">
        <v>185</v>
      </c>
      <c r="F449" s="753"/>
      <c r="G449" s="597"/>
      <c r="H449" s="165" t="s">
        <v>12</v>
      </c>
      <c r="I449" s="611"/>
      <c r="J449" s="611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v>0</v>
      </c>
      <c r="N449" s="93">
        <f>N450+N451+N452+N453</f>
        <v>120420</v>
      </c>
      <c r="O449" s="93">
        <f t="shared" ca="1" si="198"/>
        <v>19.603182871877685</v>
      </c>
      <c r="P449" s="93">
        <f t="shared" si="199"/>
        <v>0</v>
      </c>
      <c r="Q449" s="598"/>
      <c r="R449" s="598"/>
      <c r="S449" s="598"/>
      <c r="T449" s="598"/>
      <c r="U449" s="598"/>
      <c r="V449" s="598"/>
      <c r="W449" s="598"/>
      <c r="X449" s="598"/>
      <c r="Y449" s="598"/>
      <c r="Z449" s="598"/>
    </row>
    <row r="450" spans="1:26" ht="18.75">
      <c r="A450" s="568"/>
      <c r="B450" s="569"/>
      <c r="C450" s="757"/>
      <c r="D450" s="757"/>
      <c r="E450" s="757"/>
      <c r="F450" s="757" t="s">
        <v>186</v>
      </c>
      <c r="G450" s="189"/>
      <c r="H450" s="161" t="s">
        <v>12</v>
      </c>
      <c r="I450" s="270"/>
      <c r="J450" s="270"/>
      <c r="K450" s="497"/>
      <c r="L450" s="497"/>
      <c r="M450" s="497"/>
      <c r="N450" s="834">
        <v>59960</v>
      </c>
      <c r="O450" s="497"/>
      <c r="P450" s="497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</row>
    <row r="451" spans="1:26" ht="18.75">
      <c r="A451" s="568"/>
      <c r="B451" s="569"/>
      <c r="C451" s="757"/>
      <c r="D451" s="757"/>
      <c r="E451" s="757"/>
      <c r="F451" s="757" t="s">
        <v>187</v>
      </c>
      <c r="G451" s="189"/>
      <c r="H451" s="161" t="s">
        <v>12</v>
      </c>
      <c r="I451" s="270"/>
      <c r="J451" s="270"/>
      <c r="K451" s="497"/>
      <c r="L451" s="497"/>
      <c r="M451" s="497"/>
      <c r="N451" s="834">
        <v>3500</v>
      </c>
      <c r="O451" s="497"/>
      <c r="P451" s="497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</row>
    <row r="452" spans="1:26" ht="18.75">
      <c r="A452" s="568"/>
      <c r="B452" s="569"/>
      <c r="C452" s="569"/>
      <c r="D452" s="569"/>
      <c r="E452" s="569"/>
      <c r="F452" s="757" t="s">
        <v>188</v>
      </c>
      <c r="G452" s="189"/>
      <c r="H452" s="161" t="s">
        <v>12</v>
      </c>
      <c r="I452" s="270"/>
      <c r="J452" s="270"/>
      <c r="K452" s="497"/>
      <c r="L452" s="497"/>
      <c r="M452" s="497"/>
      <c r="N452" s="834">
        <v>39000</v>
      </c>
      <c r="O452" s="497"/>
      <c r="P452" s="497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</row>
    <row r="453" spans="1:26" ht="18.75">
      <c r="A453" s="568"/>
      <c r="B453" s="569"/>
      <c r="C453" s="569"/>
      <c r="D453" s="569"/>
      <c r="E453" s="569"/>
      <c r="F453" s="757" t="s">
        <v>189</v>
      </c>
      <c r="G453" s="189"/>
      <c r="H453" s="161" t="s">
        <v>12</v>
      </c>
      <c r="I453" s="270"/>
      <c r="J453" s="270"/>
      <c r="K453" s="497"/>
      <c r="L453" s="497"/>
      <c r="M453" s="497"/>
      <c r="N453" s="834">
        <v>17960</v>
      </c>
      <c r="O453" s="497"/>
      <c r="P453" s="497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</row>
    <row r="454" spans="1:26" ht="18.75">
      <c r="A454" s="591"/>
      <c r="B454" s="569"/>
      <c r="C454" s="569"/>
      <c r="D454" s="600" t="s">
        <v>21</v>
      </c>
      <c r="E454" s="569"/>
      <c r="F454" s="757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</row>
    <row r="455" spans="1:26" ht="18.75" hidden="1">
      <c r="A455" s="593"/>
      <c r="B455" s="601"/>
      <c r="C455" s="601"/>
      <c r="D455" s="601"/>
      <c r="E455" s="601" t="s">
        <v>18</v>
      </c>
      <c r="F455" s="753"/>
      <c r="G455" s="597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598"/>
      <c r="R455" s="598"/>
      <c r="S455" s="598"/>
      <c r="T455" s="598"/>
      <c r="U455" s="598"/>
      <c r="V455" s="598"/>
      <c r="W455" s="598"/>
      <c r="X455" s="598"/>
      <c r="Y455" s="598"/>
      <c r="Z455" s="598"/>
    </row>
    <row r="456" spans="1:26" ht="18.75" hidden="1">
      <c r="A456" s="593"/>
      <c r="B456" s="601"/>
      <c r="C456" s="601"/>
      <c r="D456" s="601"/>
      <c r="E456" s="601" t="s">
        <v>19</v>
      </c>
      <c r="F456" s="753"/>
      <c r="G456" s="597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598"/>
      <c r="R456" s="598"/>
      <c r="S456" s="598"/>
      <c r="T456" s="598"/>
      <c r="U456" s="598"/>
      <c r="V456" s="598"/>
      <c r="W456" s="598"/>
      <c r="X456" s="598"/>
      <c r="Y456" s="598"/>
      <c r="Z456" s="598"/>
    </row>
    <row r="457" spans="1:26" ht="19.5">
      <c r="A457" s="602"/>
      <c r="B457" s="612"/>
      <c r="C457" s="569" t="s">
        <v>16</v>
      </c>
      <c r="D457" s="860" t="s">
        <v>38</v>
      </c>
      <c r="E457" s="605"/>
      <c r="F457" s="755"/>
      <c r="G457" s="607"/>
      <c r="H457" s="756"/>
      <c r="I457" s="270"/>
      <c r="J457" s="270"/>
      <c r="K457" s="497"/>
      <c r="L457" s="497"/>
      <c r="M457" s="497"/>
      <c r="N457" s="497"/>
      <c r="O457" s="497"/>
      <c r="P457" s="497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</row>
    <row r="458" spans="1:26" ht="18.75" hidden="1">
      <c r="A458" s="608"/>
      <c r="B458" s="610"/>
      <c r="C458" s="610"/>
      <c r="D458" s="610" t="s">
        <v>200</v>
      </c>
      <c r="E458" s="610"/>
      <c r="F458" s="714"/>
      <c r="G458" s="366"/>
      <c r="H458" s="370" t="s">
        <v>35</v>
      </c>
      <c r="I458" s="611">
        <v>0</v>
      </c>
      <c r="J458" s="611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598"/>
      <c r="R458" s="598"/>
      <c r="S458" s="598"/>
      <c r="T458" s="598"/>
      <c r="U458" s="598"/>
      <c r="V458" s="598"/>
      <c r="W458" s="598"/>
      <c r="X458" s="598"/>
      <c r="Y458" s="598"/>
      <c r="Z458" s="598"/>
    </row>
    <row r="459" spans="1:26" ht="18.75" hidden="1">
      <c r="A459" s="608"/>
      <c r="B459" s="610"/>
      <c r="C459" s="610"/>
      <c r="D459" s="610" t="s">
        <v>201</v>
      </c>
      <c r="E459" s="610"/>
      <c r="F459" s="714"/>
      <c r="G459" s="366"/>
      <c r="H459" s="370"/>
      <c r="I459" s="611"/>
      <c r="J459" s="611"/>
      <c r="K459" s="93"/>
      <c r="L459" s="93"/>
      <c r="M459" s="93"/>
      <c r="N459" s="93"/>
      <c r="O459" s="93"/>
      <c r="P459" s="93"/>
      <c r="Q459" s="598"/>
      <c r="R459" s="598"/>
      <c r="S459" s="598"/>
      <c r="T459" s="598"/>
      <c r="U459" s="598"/>
      <c r="V459" s="598"/>
      <c r="W459" s="598"/>
      <c r="X459" s="598"/>
      <c r="Y459" s="598"/>
      <c r="Z459" s="598"/>
    </row>
    <row r="460" spans="1:26" ht="18.75">
      <c r="A460" s="602"/>
      <c r="B460" s="612"/>
      <c r="C460" s="612"/>
      <c r="D460" s="612" t="s">
        <v>202</v>
      </c>
      <c r="E460" s="612"/>
      <c r="F460" s="620"/>
      <c r="G460" s="756"/>
      <c r="H460" s="758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80</v>
      </c>
      <c r="K460" s="497">
        <f ca="1">IF(I460&gt;0,J460*100/I460,0)</f>
        <v>80</v>
      </c>
      <c r="L460" s="497"/>
      <c r="M460" s="497"/>
      <c r="N460" s="497"/>
      <c r="O460" s="497"/>
      <c r="P460" s="497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</row>
    <row r="461" spans="1:26" ht="18.75">
      <c r="A461" s="602"/>
      <c r="B461" s="612"/>
      <c r="C461" s="612"/>
      <c r="D461" s="612" t="s">
        <v>203</v>
      </c>
      <c r="E461" s="620"/>
      <c r="F461" s="620"/>
      <c r="G461" s="756"/>
      <c r="H461" s="758"/>
      <c r="I461" s="270"/>
      <c r="J461" s="270"/>
      <c r="K461" s="497"/>
      <c r="L461" s="497"/>
      <c r="M461" s="497"/>
      <c r="N461" s="497"/>
      <c r="O461" s="497"/>
      <c r="P461" s="497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</row>
    <row r="462" spans="1:26" ht="18.75">
      <c r="A462" s="602"/>
      <c r="B462" s="612"/>
      <c r="C462" s="612"/>
      <c r="D462" s="612" t="s">
        <v>204</v>
      </c>
      <c r="E462" s="620"/>
      <c r="F462" s="620"/>
      <c r="G462" s="756"/>
      <c r="H462" s="758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200</v>
      </c>
      <c r="K462" s="497">
        <f ca="1">IF(I462&gt;0,J462*100/I462,0)</f>
        <v>83.333333333333329</v>
      </c>
      <c r="L462" s="497"/>
      <c r="M462" s="497"/>
      <c r="N462" s="497"/>
      <c r="O462" s="497"/>
      <c r="P462" s="497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</row>
    <row r="463" spans="1:26" ht="18.75">
      <c r="A463" s="602"/>
      <c r="B463" s="612"/>
      <c r="C463" s="612"/>
      <c r="D463" s="612" t="s">
        <v>59</v>
      </c>
      <c r="E463" s="620"/>
      <c r="F463" s="757"/>
      <c r="G463" s="189"/>
      <c r="H463" s="758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0</v>
      </c>
      <c r="K463" s="497"/>
      <c r="L463" s="497"/>
      <c r="M463" s="497"/>
      <c r="N463" s="497"/>
      <c r="O463" s="497"/>
      <c r="P463" s="497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</row>
    <row r="464" spans="1:26" ht="19.5">
      <c r="A464" s="602"/>
      <c r="B464" s="612"/>
      <c r="C464" s="612"/>
      <c r="D464" s="612"/>
      <c r="E464" s="620"/>
      <c r="F464" s="620"/>
      <c r="G464" s="614"/>
      <c r="H464" s="758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0</v>
      </c>
      <c r="K464" s="497"/>
      <c r="L464" s="497"/>
      <c r="M464" s="497"/>
      <c r="N464" s="497"/>
      <c r="O464" s="497"/>
      <c r="P464" s="497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</row>
    <row r="465" spans="1:26" ht="19.5">
      <c r="A465" s="579">
        <v>3</v>
      </c>
      <c r="B465" s="580" t="s">
        <v>205</v>
      </c>
      <c r="C465" s="581"/>
      <c r="D465" s="581"/>
      <c r="E465" s="581"/>
      <c r="F465" s="581"/>
      <c r="G465" s="582"/>
      <c r="H465" s="583" t="s">
        <v>35</v>
      </c>
      <c r="I465" s="584">
        <f ca="1">IFERROR(__xludf.DUMMYFUNCTION("IMPORTRANGE(""https://docs.google.com/spreadsheets/d/1QqKyyYR6Q21VydFLVH3TRQUabQu_ym0Zz7PgGX0-kHA/edit?usp=sharing"",""แผน!FX39"")"),131)</f>
        <v>131</v>
      </c>
      <c r="J465" s="584">
        <f>J485+J489+J492</f>
        <v>1</v>
      </c>
      <c r="K465" s="585">
        <f t="shared" ref="K465:K466" ca="1" si="205">IF(I465&gt;0,J465*100/I465,0)</f>
        <v>0.76335877862595425</v>
      </c>
      <c r="L465" s="586"/>
      <c r="M465" s="586"/>
      <c r="N465" s="586"/>
      <c r="O465" s="586"/>
      <c r="P465" s="586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</row>
    <row r="466" spans="1:26" ht="19.5">
      <c r="A466" s="587"/>
      <c r="B466" s="588"/>
      <c r="C466" s="589"/>
      <c r="D466" s="589"/>
      <c r="E466" s="589"/>
      <c r="F466" s="589"/>
      <c r="G466" s="590"/>
      <c r="H466" s="563" t="s">
        <v>46</v>
      </c>
      <c r="I466" s="564">
        <f ca="1">IFERROR(__xludf.DUMMYFUNCTION("IMPORTRANGE(""https://docs.google.com/spreadsheets/d/1QqKyyYR6Q21VydFLVH3TRQUabQu_ym0Zz7PgGX0-kHA/edit?usp=sharing"",""แผน!FW39"")"),1300)</f>
        <v>1300</v>
      </c>
      <c r="J466" s="564">
        <f>J495+J498</f>
        <v>0</v>
      </c>
      <c r="K466" s="565">
        <f t="shared" ca="1" si="205"/>
        <v>0</v>
      </c>
      <c r="L466" s="566"/>
      <c r="M466" s="566"/>
      <c r="N466" s="566"/>
      <c r="O466" s="566"/>
      <c r="P466" s="566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</row>
    <row r="467" spans="1:26" ht="19.5">
      <c r="A467" s="591"/>
      <c r="B467" s="757"/>
      <c r="C467" s="757" t="s">
        <v>16</v>
      </c>
      <c r="D467" s="887" t="s">
        <v>17</v>
      </c>
      <c r="E467" s="888"/>
      <c r="F467" s="888"/>
      <c r="G467" s="189"/>
      <c r="H467" s="592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si="206"/>
        <v>0</v>
      </c>
      <c r="N467" s="195">
        <f t="shared" si="206"/>
        <v>112765</v>
      </c>
      <c r="O467" s="195">
        <f t="shared" ref="O467:O472" ca="1" si="207">IF(L467&gt;0,N467*100/L467,0)</f>
        <v>9.6370622450043495</v>
      </c>
      <c r="P467" s="195">
        <f t="shared" ref="P467:P472" si="208">IF(M467&gt;0,N467*100/M467,0)</f>
        <v>0</v>
      </c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</row>
    <row r="468" spans="1:26" ht="18.75" hidden="1">
      <c r="A468" s="593"/>
      <c r="B468" s="753"/>
      <c r="C468" s="753"/>
      <c r="D468" s="714"/>
      <c r="E468" s="753" t="s">
        <v>184</v>
      </c>
      <c r="F468" s="753"/>
      <c r="G468" s="597"/>
      <c r="H468" s="165" t="s">
        <v>12</v>
      </c>
      <c r="I468" s="611"/>
      <c r="J468" s="611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598"/>
      <c r="R468" s="598"/>
      <c r="S468" s="598"/>
      <c r="T468" s="598"/>
      <c r="U468" s="598"/>
      <c r="V468" s="598"/>
      <c r="W468" s="598"/>
      <c r="X468" s="598"/>
      <c r="Y468" s="598"/>
      <c r="Z468" s="598"/>
    </row>
    <row r="469" spans="1:26" ht="18.75" hidden="1">
      <c r="A469" s="593"/>
      <c r="B469" s="601"/>
      <c r="C469" s="753"/>
      <c r="D469" s="714"/>
      <c r="E469" s="753" t="s">
        <v>185</v>
      </c>
      <c r="F469" s="753"/>
      <c r="G469" s="597"/>
      <c r="H469" s="165" t="s">
        <v>12</v>
      </c>
      <c r="I469" s="611"/>
      <c r="J469" s="611"/>
      <c r="K469" s="93"/>
      <c r="L469" s="93">
        <f t="shared" ca="1" si="209"/>
        <v>1170118</v>
      </c>
      <c r="M469" s="93">
        <f t="shared" si="209"/>
        <v>0</v>
      </c>
      <c r="N469" s="93">
        <f t="shared" si="209"/>
        <v>112765</v>
      </c>
      <c r="O469" s="93">
        <f t="shared" ca="1" si="207"/>
        <v>9.6370622450043495</v>
      </c>
      <c r="P469" s="93">
        <f t="shared" si="208"/>
        <v>0</v>
      </c>
      <c r="Q469" s="598"/>
      <c r="R469" s="598"/>
      <c r="S469" s="598"/>
      <c r="T469" s="598"/>
      <c r="U469" s="598"/>
      <c r="V469" s="598"/>
      <c r="W469" s="598"/>
      <c r="X469" s="598"/>
      <c r="Y469" s="598"/>
      <c r="Z469" s="598"/>
    </row>
    <row r="470" spans="1:26" ht="18.75">
      <c r="A470" s="591"/>
      <c r="B470" s="569"/>
      <c r="C470" s="757"/>
      <c r="D470" s="600" t="s">
        <v>20</v>
      </c>
      <c r="E470" s="757"/>
      <c r="F470" s="757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si="210"/>
        <v>0</v>
      </c>
      <c r="N470" s="497">
        <f t="shared" si="210"/>
        <v>112765</v>
      </c>
      <c r="O470" s="497">
        <f t="shared" ca="1" si="207"/>
        <v>9.6370622450043495</v>
      </c>
      <c r="P470" s="497">
        <f t="shared" si="208"/>
        <v>0</v>
      </c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</row>
    <row r="471" spans="1:26" ht="18.75" hidden="1">
      <c r="A471" s="593"/>
      <c r="B471" s="601"/>
      <c r="C471" s="753"/>
      <c r="D471" s="714"/>
      <c r="E471" s="753" t="s">
        <v>184</v>
      </c>
      <c r="F471" s="753"/>
      <c r="G471" s="597"/>
      <c r="H471" s="165" t="s">
        <v>12</v>
      </c>
      <c r="I471" s="611"/>
      <c r="J471" s="611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598"/>
      <c r="R471" s="598"/>
      <c r="S471" s="598"/>
      <c r="T471" s="598"/>
      <c r="U471" s="598"/>
      <c r="V471" s="598"/>
      <c r="W471" s="598"/>
      <c r="X471" s="598"/>
      <c r="Y471" s="598"/>
      <c r="Z471" s="598"/>
    </row>
    <row r="472" spans="1:26" ht="18.75" hidden="1">
      <c r="A472" s="593"/>
      <c r="B472" s="601"/>
      <c r="C472" s="753"/>
      <c r="D472" s="714"/>
      <c r="E472" s="753" t="s">
        <v>185</v>
      </c>
      <c r="F472" s="753"/>
      <c r="G472" s="597"/>
      <c r="H472" s="165" t="s">
        <v>12</v>
      </c>
      <c r="I472" s="611"/>
      <c r="J472" s="611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v>0</v>
      </c>
      <c r="N472" s="93">
        <f>N473+N474+N475+N476</f>
        <v>112765</v>
      </c>
      <c r="O472" s="93">
        <f t="shared" ca="1" si="207"/>
        <v>9.6370622450043495</v>
      </c>
      <c r="P472" s="93">
        <f t="shared" si="208"/>
        <v>0</v>
      </c>
      <c r="Q472" s="598"/>
      <c r="R472" s="598"/>
      <c r="S472" s="598"/>
      <c r="T472" s="598"/>
      <c r="U472" s="598"/>
      <c r="V472" s="598"/>
      <c r="W472" s="598"/>
      <c r="X472" s="598"/>
      <c r="Y472" s="598"/>
      <c r="Z472" s="598"/>
    </row>
    <row r="473" spans="1:26" ht="18.75">
      <c r="A473" s="568"/>
      <c r="B473" s="569"/>
      <c r="C473" s="757"/>
      <c r="D473" s="757"/>
      <c r="E473" s="757"/>
      <c r="F473" s="757" t="s">
        <v>186</v>
      </c>
      <c r="G473" s="189"/>
      <c r="H473" s="161" t="s">
        <v>12</v>
      </c>
      <c r="I473" s="270"/>
      <c r="J473" s="270"/>
      <c r="K473" s="497"/>
      <c r="L473" s="497"/>
      <c r="M473" s="497"/>
      <c r="N473" s="834">
        <v>71765</v>
      </c>
      <c r="O473" s="497"/>
      <c r="P473" s="497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</row>
    <row r="474" spans="1:26" ht="18.75">
      <c r="A474" s="568"/>
      <c r="B474" s="569"/>
      <c r="C474" s="757"/>
      <c r="D474" s="757"/>
      <c r="E474" s="757"/>
      <c r="F474" s="757" t="s">
        <v>187</v>
      </c>
      <c r="G474" s="189"/>
      <c r="H474" s="161" t="s">
        <v>12</v>
      </c>
      <c r="I474" s="270"/>
      <c r="J474" s="270"/>
      <c r="K474" s="497"/>
      <c r="L474" s="497"/>
      <c r="M474" s="497"/>
      <c r="N474" s="834">
        <v>1200</v>
      </c>
      <c r="O474" s="497"/>
      <c r="P474" s="497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</row>
    <row r="475" spans="1:26" ht="18.75">
      <c r="A475" s="568"/>
      <c r="B475" s="569"/>
      <c r="C475" s="569"/>
      <c r="D475" s="569"/>
      <c r="E475" s="569"/>
      <c r="F475" s="757" t="s">
        <v>188</v>
      </c>
      <c r="G475" s="189"/>
      <c r="H475" s="161" t="s">
        <v>12</v>
      </c>
      <c r="I475" s="270"/>
      <c r="J475" s="270"/>
      <c r="K475" s="497"/>
      <c r="L475" s="497"/>
      <c r="M475" s="497"/>
      <c r="N475" s="834">
        <v>39000</v>
      </c>
      <c r="O475" s="497"/>
      <c r="P475" s="497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</row>
    <row r="476" spans="1:26" ht="18.75">
      <c r="A476" s="568"/>
      <c r="B476" s="569"/>
      <c r="C476" s="569"/>
      <c r="D476" s="569"/>
      <c r="E476" s="569"/>
      <c r="F476" s="757" t="s">
        <v>189</v>
      </c>
      <c r="G476" s="189"/>
      <c r="H476" s="161" t="s">
        <v>12</v>
      </c>
      <c r="I476" s="270"/>
      <c r="J476" s="270"/>
      <c r="K476" s="497"/>
      <c r="L476" s="497"/>
      <c r="M476" s="497"/>
      <c r="N476" s="834">
        <v>800</v>
      </c>
      <c r="O476" s="497"/>
      <c r="P476" s="497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</row>
    <row r="477" spans="1:26" ht="18.75">
      <c r="A477" s="591"/>
      <c r="B477" s="569"/>
      <c r="C477" s="569"/>
      <c r="D477" s="600" t="s">
        <v>21</v>
      </c>
      <c r="E477" s="569"/>
      <c r="F477" s="569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</row>
    <row r="478" spans="1:26" ht="18.75" hidden="1">
      <c r="A478" s="593"/>
      <c r="B478" s="601"/>
      <c r="C478" s="601"/>
      <c r="D478" s="601"/>
      <c r="E478" s="601" t="s">
        <v>18</v>
      </c>
      <c r="F478" s="601"/>
      <c r="G478" s="597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598"/>
      <c r="R478" s="598"/>
      <c r="S478" s="598"/>
      <c r="T478" s="598"/>
      <c r="U478" s="598"/>
      <c r="V478" s="598"/>
      <c r="W478" s="598"/>
      <c r="X478" s="598"/>
      <c r="Y478" s="598"/>
      <c r="Z478" s="598"/>
    </row>
    <row r="479" spans="1:26" ht="18.75" hidden="1">
      <c r="A479" s="593"/>
      <c r="B479" s="601"/>
      <c r="C479" s="601"/>
      <c r="D479" s="601"/>
      <c r="E479" s="601" t="s">
        <v>19</v>
      </c>
      <c r="F479" s="601"/>
      <c r="G479" s="597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598"/>
      <c r="R479" s="598"/>
      <c r="S479" s="598"/>
      <c r="T479" s="598"/>
      <c r="U479" s="598"/>
      <c r="V479" s="598"/>
      <c r="W479" s="598"/>
      <c r="X479" s="598"/>
      <c r="Y479" s="598"/>
      <c r="Z479" s="598"/>
    </row>
    <row r="480" spans="1:26" ht="19.5">
      <c r="A480" s="602"/>
      <c r="B480" s="612"/>
      <c r="C480" s="569" t="s">
        <v>16</v>
      </c>
      <c r="D480" s="861" t="s">
        <v>38</v>
      </c>
      <c r="E480" s="605"/>
      <c r="F480" s="755"/>
      <c r="G480" s="607"/>
      <c r="H480" s="756"/>
      <c r="I480" s="270"/>
      <c r="J480" s="270"/>
      <c r="K480" s="497"/>
      <c r="L480" s="497"/>
      <c r="M480" s="497"/>
      <c r="N480" s="497"/>
      <c r="O480" s="497"/>
      <c r="P480" s="497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</row>
    <row r="481" spans="1:26" ht="19.5">
      <c r="A481" s="602"/>
      <c r="B481" s="612"/>
      <c r="C481" s="612"/>
      <c r="D481" s="619" t="s">
        <v>206</v>
      </c>
      <c r="E481" s="612"/>
      <c r="F481" s="612"/>
      <c r="G481" s="756"/>
      <c r="H481" s="189"/>
      <c r="I481" s="270"/>
      <c r="J481" s="270"/>
      <c r="K481" s="497"/>
      <c r="L481" s="497"/>
      <c r="M481" s="497"/>
      <c r="N481" s="497"/>
      <c r="O481" s="497"/>
      <c r="P481" s="497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</row>
    <row r="482" spans="1:26" ht="18.75">
      <c r="A482" s="602"/>
      <c r="B482" s="612"/>
      <c r="C482" s="612"/>
      <c r="D482" s="612"/>
      <c r="E482" s="612" t="s">
        <v>207</v>
      </c>
      <c r="F482" s="612"/>
      <c r="G482" s="756"/>
      <c r="H482" s="189"/>
      <c r="I482" s="270"/>
      <c r="J482" s="270"/>
      <c r="K482" s="497"/>
      <c r="L482" s="497"/>
      <c r="M482" s="497"/>
      <c r="N482" s="497"/>
      <c r="O482" s="497"/>
      <c r="P482" s="497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</row>
    <row r="483" spans="1:26" ht="18.75">
      <c r="A483" s="602"/>
      <c r="B483" s="612"/>
      <c r="C483" s="612"/>
      <c r="D483" s="612"/>
      <c r="E483" s="612"/>
      <c r="F483" s="612" t="s">
        <v>208</v>
      </c>
      <c r="G483" s="756"/>
      <c r="H483" s="617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0</v>
      </c>
      <c r="K483" s="497">
        <f ca="1">IF(I483&gt;0,J483*100/I483,0)</f>
        <v>0</v>
      </c>
      <c r="L483" s="497"/>
      <c r="M483" s="497"/>
      <c r="N483" s="497"/>
      <c r="O483" s="497"/>
      <c r="P483" s="497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</row>
    <row r="484" spans="1:26" ht="18.75">
      <c r="A484" s="602"/>
      <c r="B484" s="612"/>
      <c r="C484" s="612"/>
      <c r="D484" s="612"/>
      <c r="E484" s="612"/>
      <c r="F484" s="612" t="s">
        <v>209</v>
      </c>
      <c r="G484" s="756"/>
      <c r="H484" s="617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</row>
    <row r="485" spans="1:26" ht="18.75">
      <c r="A485" s="602"/>
      <c r="B485" s="612"/>
      <c r="C485" s="612"/>
      <c r="D485" s="612"/>
      <c r="E485" s="612"/>
      <c r="F485" s="612" t="s">
        <v>210</v>
      </c>
      <c r="G485" s="756"/>
      <c r="H485" s="617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0</v>
      </c>
      <c r="K485" s="497">
        <f ca="1">IF(I485&gt;0,J485*100/I485,0)</f>
        <v>0</v>
      </c>
      <c r="L485" s="497"/>
      <c r="M485" s="497"/>
      <c r="N485" s="497"/>
      <c r="O485" s="497"/>
      <c r="P485" s="497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</row>
    <row r="486" spans="1:26" ht="18.75">
      <c r="A486" s="602"/>
      <c r="B486" s="612"/>
      <c r="C486" s="612"/>
      <c r="D486" s="612"/>
      <c r="E486" s="612" t="s">
        <v>62</v>
      </c>
      <c r="F486" s="612"/>
      <c r="G486" s="756"/>
      <c r="H486" s="617"/>
      <c r="I486" s="270"/>
      <c r="J486" s="270"/>
      <c r="K486" s="497"/>
      <c r="L486" s="497"/>
      <c r="M486" s="497"/>
      <c r="N486" s="497"/>
      <c r="O486" s="497"/>
      <c r="P486" s="497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</row>
    <row r="487" spans="1:26" ht="18.75">
      <c r="A487" s="602"/>
      <c r="B487" s="612"/>
      <c r="C487" s="612"/>
      <c r="D487" s="612"/>
      <c r="E487" s="612"/>
      <c r="F487" s="612" t="s">
        <v>208</v>
      </c>
      <c r="G487" s="756"/>
      <c r="H487" s="617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0</v>
      </c>
      <c r="K487" s="497">
        <f ca="1">IF(I487&gt;0,J487*100/I487,0)</f>
        <v>0</v>
      </c>
      <c r="L487" s="497"/>
      <c r="M487" s="497"/>
      <c r="N487" s="497"/>
      <c r="O487" s="497"/>
      <c r="P487" s="497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</row>
    <row r="488" spans="1:26" ht="18.75">
      <c r="A488" s="602"/>
      <c r="B488" s="612"/>
      <c r="C488" s="612"/>
      <c r="D488" s="612"/>
      <c r="E488" s="612"/>
      <c r="F488" s="612" t="s">
        <v>211</v>
      </c>
      <c r="G488" s="756"/>
      <c r="H488" s="617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</row>
    <row r="489" spans="1:26" ht="18.75">
      <c r="A489" s="602"/>
      <c r="B489" s="612"/>
      <c r="C489" s="612"/>
      <c r="D489" s="612"/>
      <c r="E489" s="612"/>
      <c r="F489" s="612" t="s">
        <v>212</v>
      </c>
      <c r="G489" s="756"/>
      <c r="H489" s="617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0</v>
      </c>
      <c r="K489" s="497">
        <f ca="1">IF(I489&gt;0,J489*100/I489,0)</f>
        <v>0</v>
      </c>
      <c r="L489" s="497"/>
      <c r="M489" s="497"/>
      <c r="N489" s="497"/>
      <c r="O489" s="497"/>
      <c r="P489" s="497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</row>
    <row r="490" spans="1:26" ht="18.75">
      <c r="A490" s="602"/>
      <c r="B490" s="612"/>
      <c r="C490" s="612"/>
      <c r="D490" s="612"/>
      <c r="E490" s="612" t="s">
        <v>63</v>
      </c>
      <c r="F490" s="620"/>
      <c r="G490" s="756"/>
      <c r="H490" s="617"/>
      <c r="I490" s="270"/>
      <c r="J490" s="270"/>
      <c r="K490" s="497"/>
      <c r="L490" s="497"/>
      <c r="M490" s="497"/>
      <c r="N490" s="497"/>
      <c r="O490" s="497"/>
      <c r="P490" s="497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</row>
    <row r="491" spans="1:26" ht="18.75">
      <c r="A491" s="602"/>
      <c r="B491" s="612"/>
      <c r="C491" s="612"/>
      <c r="D491" s="612"/>
      <c r="E491" s="612"/>
      <c r="F491" s="612" t="s">
        <v>213</v>
      </c>
      <c r="G491" s="756"/>
      <c r="H491" s="617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</row>
    <row r="492" spans="1:26" ht="18.75">
      <c r="A492" s="602"/>
      <c r="B492" s="612"/>
      <c r="C492" s="612"/>
      <c r="D492" s="612"/>
      <c r="E492" s="612"/>
      <c r="F492" s="612" t="s">
        <v>214</v>
      </c>
      <c r="G492" s="756"/>
      <c r="H492" s="617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</row>
    <row r="493" spans="1:26" ht="19.5">
      <c r="A493" s="602"/>
      <c r="B493" s="612"/>
      <c r="C493" s="612"/>
      <c r="D493" s="619" t="s">
        <v>59</v>
      </c>
      <c r="E493" s="612"/>
      <c r="F493" s="620"/>
      <c r="G493" s="756"/>
      <c r="H493" s="189"/>
      <c r="I493" s="270"/>
      <c r="J493" s="270"/>
      <c r="K493" s="497"/>
      <c r="L493" s="497"/>
      <c r="M493" s="497"/>
      <c r="N493" s="497"/>
      <c r="O493" s="497"/>
      <c r="P493" s="497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</row>
    <row r="494" spans="1:26" ht="18.75">
      <c r="A494" s="602"/>
      <c r="B494" s="612"/>
      <c r="C494" s="612"/>
      <c r="D494" s="612"/>
      <c r="E494" s="612" t="s">
        <v>207</v>
      </c>
      <c r="F494" s="620"/>
      <c r="G494" s="756"/>
      <c r="H494" s="189"/>
      <c r="I494" s="270"/>
      <c r="J494" s="270"/>
      <c r="K494" s="497"/>
      <c r="L494" s="497"/>
      <c r="M494" s="497"/>
      <c r="N494" s="497"/>
      <c r="O494" s="497"/>
      <c r="P494" s="497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</row>
    <row r="495" spans="1:26" ht="18.75">
      <c r="A495" s="602"/>
      <c r="B495" s="612"/>
      <c r="C495" s="612"/>
      <c r="D495" s="612"/>
      <c r="E495" s="612"/>
      <c r="F495" s="620" t="s">
        <v>215</v>
      </c>
      <c r="G495" s="756"/>
      <c r="H495" s="617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</row>
    <row r="496" spans="1:26" ht="18.75">
      <c r="A496" s="602"/>
      <c r="B496" s="612"/>
      <c r="C496" s="612"/>
      <c r="D496" s="612"/>
      <c r="E496" s="612"/>
      <c r="F496" s="620" t="s">
        <v>216</v>
      </c>
      <c r="G496" s="756"/>
      <c r="H496" s="617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</row>
    <row r="497" spans="1:26" ht="18.75">
      <c r="A497" s="602"/>
      <c r="B497" s="612"/>
      <c r="C497" s="612"/>
      <c r="D497" s="612"/>
      <c r="E497" s="612" t="s">
        <v>62</v>
      </c>
      <c r="F497" s="620"/>
      <c r="G497" s="756"/>
      <c r="H497" s="189"/>
      <c r="I497" s="270"/>
      <c r="J497" s="270"/>
      <c r="K497" s="497"/>
      <c r="L497" s="497"/>
      <c r="M497" s="497"/>
      <c r="N497" s="497"/>
      <c r="O497" s="497"/>
      <c r="P497" s="497"/>
      <c r="Q497" s="572"/>
      <c r="R497" s="572"/>
      <c r="S497" s="572"/>
      <c r="T497" s="572"/>
      <c r="U497" s="572"/>
      <c r="V497" s="572"/>
      <c r="W497" s="572"/>
      <c r="X497" s="572"/>
      <c r="Y497" s="572"/>
      <c r="Z497" s="572"/>
    </row>
    <row r="498" spans="1:26" ht="18.75">
      <c r="A498" s="602"/>
      <c r="B498" s="612"/>
      <c r="C498" s="612"/>
      <c r="D498" s="612"/>
      <c r="E498" s="620"/>
      <c r="F498" s="620" t="s">
        <v>217</v>
      </c>
      <c r="G498" s="756"/>
      <c r="H498" s="617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</row>
    <row r="499" spans="1:26" ht="18.75">
      <c r="A499" s="602"/>
      <c r="B499" s="612"/>
      <c r="C499" s="612"/>
      <c r="D499" s="612"/>
      <c r="E499" s="620"/>
      <c r="F499" s="620" t="s">
        <v>218</v>
      </c>
      <c r="G499" s="756"/>
      <c r="H499" s="617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</row>
    <row r="500" spans="1:26" ht="19.5" hidden="1">
      <c r="A500" s="621">
        <v>4</v>
      </c>
      <c r="B500" s="622" t="s">
        <v>219</v>
      </c>
      <c r="C500" s="623"/>
      <c r="D500" s="624"/>
      <c r="E500" s="624"/>
      <c r="F500" s="624"/>
      <c r="G500" s="625"/>
      <c r="H500" s="626" t="s">
        <v>109</v>
      </c>
      <c r="I500" s="627"/>
      <c r="J500" s="627">
        <f t="shared" ref="J500:J501" si="214">J516</f>
        <v>0</v>
      </c>
      <c r="K500" s="628">
        <f t="shared" ref="K500:K501" si="215">IF(I500&gt;0,J500*100/I500,0)</f>
        <v>0</v>
      </c>
      <c r="L500" s="629"/>
      <c r="M500" s="629"/>
      <c r="N500" s="629"/>
      <c r="O500" s="629"/>
      <c r="P500" s="629"/>
      <c r="Q500" s="598"/>
      <c r="R500" s="598"/>
      <c r="S500" s="598"/>
      <c r="T500" s="598"/>
      <c r="U500" s="598"/>
      <c r="V500" s="598"/>
      <c r="W500" s="598"/>
      <c r="X500" s="598"/>
      <c r="Y500" s="598"/>
      <c r="Z500" s="598"/>
    </row>
    <row r="501" spans="1:26" ht="19.5" hidden="1">
      <c r="A501" s="630"/>
      <c r="B501" s="632" t="s">
        <v>220</v>
      </c>
      <c r="C501" s="632"/>
      <c r="D501" s="633"/>
      <c r="E501" s="633"/>
      <c r="F501" s="633"/>
      <c r="G501" s="634"/>
      <c r="H501" s="635" t="s">
        <v>35</v>
      </c>
      <c r="I501" s="636"/>
      <c r="J501" s="636">
        <f t="shared" si="214"/>
        <v>0</v>
      </c>
      <c r="K501" s="637">
        <f t="shared" si="215"/>
        <v>0</v>
      </c>
      <c r="L501" s="638"/>
      <c r="M501" s="638"/>
      <c r="N501" s="638"/>
      <c r="O501" s="638"/>
      <c r="P501" s="638"/>
      <c r="Q501" s="598"/>
      <c r="R501" s="598"/>
      <c r="S501" s="598"/>
      <c r="T501" s="598"/>
      <c r="U501" s="598"/>
      <c r="V501" s="598"/>
      <c r="W501" s="598"/>
      <c r="X501" s="598"/>
      <c r="Y501" s="598"/>
      <c r="Z501" s="598"/>
    </row>
    <row r="502" spans="1:26" ht="19.5" hidden="1">
      <c r="A502" s="593"/>
      <c r="B502" s="753"/>
      <c r="C502" s="753" t="s">
        <v>16</v>
      </c>
      <c r="D502" s="892" t="s">
        <v>17</v>
      </c>
      <c r="E502" s="888"/>
      <c r="F502" s="888"/>
      <c r="G502" s="597"/>
      <c r="H502" s="640" t="s">
        <v>12</v>
      </c>
      <c r="I502" s="611"/>
      <c r="J502" s="611"/>
      <c r="K502" s="93"/>
      <c r="L502" s="641">
        <f t="shared" ref="L502:N502" si="216">L503+L504</f>
        <v>0</v>
      </c>
      <c r="M502" s="641">
        <f t="shared" si="216"/>
        <v>0</v>
      </c>
      <c r="N502" s="641">
        <f t="shared" si="216"/>
        <v>0</v>
      </c>
      <c r="O502" s="641">
        <f t="shared" ref="O502:O507" si="217">IF(L502&gt;0,N502*100/L502,0)</f>
        <v>0</v>
      </c>
      <c r="P502" s="641">
        <f t="shared" ref="P502:P507" si="218">IF(M502&gt;0,N502*100/M502,0)</f>
        <v>0</v>
      </c>
      <c r="Q502" s="598"/>
      <c r="R502" s="598"/>
      <c r="S502" s="598"/>
      <c r="T502" s="598"/>
      <c r="U502" s="598"/>
      <c r="V502" s="598"/>
      <c r="W502" s="598"/>
      <c r="X502" s="598"/>
      <c r="Y502" s="598"/>
      <c r="Z502" s="598"/>
    </row>
    <row r="503" spans="1:26" ht="18.75" hidden="1">
      <c r="A503" s="593"/>
      <c r="B503" s="753"/>
      <c r="C503" s="753"/>
      <c r="D503" s="714"/>
      <c r="E503" s="753" t="s">
        <v>184</v>
      </c>
      <c r="F503" s="753"/>
      <c r="G503" s="597"/>
      <c r="H503" s="165" t="s">
        <v>12</v>
      </c>
      <c r="I503" s="611"/>
      <c r="J503" s="611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598"/>
      <c r="R503" s="598"/>
      <c r="S503" s="598"/>
      <c r="T503" s="598"/>
      <c r="U503" s="598"/>
      <c r="V503" s="598"/>
      <c r="W503" s="598"/>
      <c r="X503" s="598"/>
      <c r="Y503" s="598"/>
      <c r="Z503" s="598"/>
    </row>
    <row r="504" spans="1:26" ht="18.75" hidden="1">
      <c r="A504" s="593"/>
      <c r="B504" s="601"/>
      <c r="C504" s="753"/>
      <c r="D504" s="714"/>
      <c r="E504" s="753" t="s">
        <v>185</v>
      </c>
      <c r="F504" s="753"/>
      <c r="G504" s="597"/>
      <c r="H504" s="165" t="s">
        <v>12</v>
      </c>
      <c r="I504" s="611"/>
      <c r="J504" s="611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598"/>
      <c r="R504" s="598"/>
      <c r="S504" s="598"/>
      <c r="T504" s="598"/>
      <c r="U504" s="598"/>
      <c r="V504" s="598"/>
      <c r="W504" s="598"/>
      <c r="X504" s="598"/>
      <c r="Y504" s="598"/>
      <c r="Z504" s="598"/>
    </row>
    <row r="505" spans="1:26" ht="18.75" hidden="1">
      <c r="A505" s="593"/>
      <c r="B505" s="601"/>
      <c r="C505" s="753"/>
      <c r="D505" s="642" t="s">
        <v>20</v>
      </c>
      <c r="E505" s="753"/>
      <c r="F505" s="753"/>
      <c r="G505" s="597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598"/>
      <c r="R505" s="598"/>
      <c r="S505" s="598"/>
      <c r="T505" s="598"/>
      <c r="U505" s="598"/>
      <c r="V505" s="598"/>
      <c r="W505" s="598"/>
      <c r="X505" s="598"/>
      <c r="Y505" s="598"/>
      <c r="Z505" s="598"/>
    </row>
    <row r="506" spans="1:26" ht="18.75" hidden="1">
      <c r="A506" s="593"/>
      <c r="B506" s="601"/>
      <c r="C506" s="753"/>
      <c r="D506" s="714"/>
      <c r="E506" s="753" t="s">
        <v>184</v>
      </c>
      <c r="F506" s="753"/>
      <c r="G506" s="597"/>
      <c r="H506" s="165" t="s">
        <v>12</v>
      </c>
      <c r="I506" s="611"/>
      <c r="J506" s="611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598"/>
      <c r="R506" s="598"/>
      <c r="S506" s="598"/>
      <c r="T506" s="598"/>
      <c r="U506" s="598"/>
      <c r="V506" s="598"/>
      <c r="W506" s="598"/>
      <c r="X506" s="598"/>
      <c r="Y506" s="598"/>
      <c r="Z506" s="598"/>
    </row>
    <row r="507" spans="1:26" ht="18.75" hidden="1">
      <c r="A507" s="593"/>
      <c r="B507" s="601"/>
      <c r="C507" s="753"/>
      <c r="D507" s="714"/>
      <c r="E507" s="753" t="s">
        <v>185</v>
      </c>
      <c r="F507" s="753"/>
      <c r="G507" s="597"/>
      <c r="H507" s="165" t="s">
        <v>12</v>
      </c>
      <c r="I507" s="611"/>
      <c r="J507" s="611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598"/>
      <c r="R507" s="598"/>
      <c r="S507" s="598"/>
      <c r="T507" s="598"/>
      <c r="U507" s="598"/>
      <c r="V507" s="598"/>
      <c r="W507" s="598"/>
      <c r="X507" s="598"/>
      <c r="Y507" s="598"/>
      <c r="Z507" s="598"/>
    </row>
    <row r="508" spans="1:26" ht="18.75" hidden="1">
      <c r="A508" s="643"/>
      <c r="B508" s="601"/>
      <c r="C508" s="753"/>
      <c r="D508" s="753"/>
      <c r="E508" s="753"/>
      <c r="F508" s="753" t="s">
        <v>186</v>
      </c>
      <c r="G508" s="597"/>
      <c r="H508" s="165" t="s">
        <v>12</v>
      </c>
      <c r="I508" s="611"/>
      <c r="J508" s="611"/>
      <c r="K508" s="93"/>
      <c r="L508" s="93"/>
      <c r="M508" s="93"/>
      <c r="N508" s="93">
        <v>0</v>
      </c>
      <c r="O508" s="93"/>
      <c r="P508" s="93"/>
      <c r="Q508" s="598"/>
      <c r="R508" s="598"/>
      <c r="S508" s="598"/>
      <c r="T508" s="598"/>
      <c r="U508" s="598"/>
      <c r="V508" s="598"/>
      <c r="W508" s="598"/>
      <c r="X508" s="598"/>
      <c r="Y508" s="598"/>
      <c r="Z508" s="598"/>
    </row>
    <row r="509" spans="1:26" ht="18.75" hidden="1">
      <c r="A509" s="643"/>
      <c r="B509" s="601"/>
      <c r="C509" s="753"/>
      <c r="D509" s="753"/>
      <c r="E509" s="753"/>
      <c r="F509" s="753" t="s">
        <v>187</v>
      </c>
      <c r="G509" s="597"/>
      <c r="H509" s="165" t="s">
        <v>12</v>
      </c>
      <c r="I509" s="611"/>
      <c r="J509" s="611"/>
      <c r="K509" s="93"/>
      <c r="L509" s="93"/>
      <c r="M509" s="93"/>
      <c r="N509" s="93">
        <v>0</v>
      </c>
      <c r="O509" s="93"/>
      <c r="P509" s="93"/>
      <c r="Q509" s="598"/>
      <c r="R509" s="598"/>
      <c r="S509" s="598"/>
      <c r="T509" s="598"/>
      <c r="U509" s="598"/>
      <c r="V509" s="598"/>
      <c r="W509" s="598"/>
      <c r="X509" s="598"/>
      <c r="Y509" s="598"/>
      <c r="Z509" s="598"/>
    </row>
    <row r="510" spans="1:26" ht="18.75" hidden="1">
      <c r="A510" s="643"/>
      <c r="B510" s="601"/>
      <c r="C510" s="601"/>
      <c r="D510" s="601"/>
      <c r="E510" s="753"/>
      <c r="F510" s="753" t="s">
        <v>188</v>
      </c>
      <c r="G510" s="597"/>
      <c r="H510" s="165" t="s">
        <v>12</v>
      </c>
      <c r="I510" s="611"/>
      <c r="J510" s="611"/>
      <c r="K510" s="93"/>
      <c r="L510" s="93"/>
      <c r="M510" s="93"/>
      <c r="N510" s="93">
        <v>0</v>
      </c>
      <c r="O510" s="93"/>
      <c r="P510" s="93"/>
      <c r="Q510" s="598"/>
      <c r="R510" s="598"/>
      <c r="S510" s="598"/>
      <c r="T510" s="598"/>
      <c r="U510" s="598"/>
      <c r="V510" s="598"/>
      <c r="W510" s="598"/>
      <c r="X510" s="598"/>
      <c r="Y510" s="598"/>
      <c r="Z510" s="598"/>
    </row>
    <row r="511" spans="1:26" ht="18.75" hidden="1">
      <c r="A511" s="643"/>
      <c r="B511" s="601"/>
      <c r="C511" s="601"/>
      <c r="D511" s="601"/>
      <c r="E511" s="753"/>
      <c r="F511" s="753" t="s">
        <v>189</v>
      </c>
      <c r="G511" s="597"/>
      <c r="H511" s="165" t="s">
        <v>12</v>
      </c>
      <c r="I511" s="611"/>
      <c r="J511" s="611"/>
      <c r="K511" s="93"/>
      <c r="L511" s="93"/>
      <c r="M511" s="93"/>
      <c r="N511" s="93">
        <v>0</v>
      </c>
      <c r="O511" s="93"/>
      <c r="P511" s="93"/>
      <c r="Q511" s="598"/>
      <c r="R511" s="598"/>
      <c r="S511" s="598"/>
      <c r="T511" s="598"/>
      <c r="U511" s="598"/>
      <c r="V511" s="598"/>
      <c r="W511" s="598"/>
      <c r="X511" s="598"/>
      <c r="Y511" s="598"/>
      <c r="Z511" s="598"/>
    </row>
    <row r="512" spans="1:26" ht="18.75" hidden="1">
      <c r="A512" s="593"/>
      <c r="B512" s="601"/>
      <c r="C512" s="601"/>
      <c r="D512" s="642" t="s">
        <v>21</v>
      </c>
      <c r="E512" s="601"/>
      <c r="F512" s="753"/>
      <c r="G512" s="597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598"/>
      <c r="R512" s="598"/>
      <c r="S512" s="598"/>
      <c r="T512" s="598"/>
      <c r="U512" s="598"/>
      <c r="V512" s="598"/>
      <c r="W512" s="598"/>
      <c r="X512" s="598"/>
      <c r="Y512" s="598"/>
      <c r="Z512" s="598"/>
    </row>
    <row r="513" spans="1:26" ht="18.75" hidden="1">
      <c r="A513" s="593"/>
      <c r="B513" s="601"/>
      <c r="C513" s="601"/>
      <c r="D513" s="601"/>
      <c r="E513" s="601" t="s">
        <v>18</v>
      </c>
      <c r="F513" s="753"/>
      <c r="G513" s="597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598"/>
      <c r="R513" s="598"/>
      <c r="S513" s="598"/>
      <c r="T513" s="598"/>
      <c r="U513" s="598"/>
      <c r="V513" s="598"/>
      <c r="W513" s="598"/>
      <c r="X513" s="598"/>
      <c r="Y513" s="598"/>
      <c r="Z513" s="598"/>
    </row>
    <row r="514" spans="1:26" ht="18.75" hidden="1">
      <c r="A514" s="593"/>
      <c r="B514" s="601"/>
      <c r="C514" s="601"/>
      <c r="D514" s="753"/>
      <c r="E514" s="601" t="s">
        <v>19</v>
      </c>
      <c r="F514" s="753"/>
      <c r="G514" s="597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598"/>
      <c r="R514" s="598"/>
      <c r="S514" s="598"/>
      <c r="T514" s="598"/>
      <c r="U514" s="598"/>
      <c r="V514" s="598"/>
      <c r="W514" s="598"/>
      <c r="X514" s="598"/>
      <c r="Y514" s="598"/>
      <c r="Z514" s="598"/>
    </row>
    <row r="515" spans="1:26" ht="19.5" hidden="1">
      <c r="A515" s="608"/>
      <c r="B515" s="610"/>
      <c r="C515" s="601" t="s">
        <v>16</v>
      </c>
      <c r="D515" s="862" t="s">
        <v>38</v>
      </c>
      <c r="E515" s="645"/>
      <c r="F515" s="645"/>
      <c r="G515" s="646"/>
      <c r="H515" s="366"/>
      <c r="I515" s="166"/>
      <c r="J515" s="166"/>
      <c r="K515" s="167"/>
      <c r="L515" s="167"/>
      <c r="M515" s="167"/>
      <c r="N515" s="167"/>
      <c r="O515" s="167"/>
      <c r="P515" s="167"/>
      <c r="Q515" s="598"/>
      <c r="R515" s="598"/>
      <c r="S515" s="598"/>
      <c r="T515" s="598"/>
      <c r="U515" s="598"/>
      <c r="V515" s="598"/>
      <c r="W515" s="598"/>
      <c r="X515" s="598"/>
      <c r="Y515" s="598"/>
      <c r="Z515" s="598"/>
    </row>
    <row r="516" spans="1:26" ht="18.75" hidden="1">
      <c r="A516" s="608"/>
      <c r="B516" s="610"/>
      <c r="C516" s="610"/>
      <c r="D516" s="610" t="s">
        <v>221</v>
      </c>
      <c r="E516" s="714"/>
      <c r="F516" s="714"/>
      <c r="G516" s="366"/>
      <c r="H516" s="647" t="s">
        <v>109</v>
      </c>
      <c r="I516" s="611"/>
      <c r="J516" s="611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598"/>
      <c r="R516" s="598"/>
      <c r="S516" s="598"/>
      <c r="T516" s="598"/>
      <c r="U516" s="598"/>
      <c r="V516" s="598"/>
      <c r="W516" s="598"/>
      <c r="X516" s="598"/>
      <c r="Y516" s="598"/>
      <c r="Z516" s="598"/>
    </row>
    <row r="517" spans="1:26" ht="19.5" hidden="1">
      <c r="A517" s="608"/>
      <c r="B517" s="610"/>
      <c r="C517" s="610"/>
      <c r="D517" s="610" t="s">
        <v>222</v>
      </c>
      <c r="E517" s="714"/>
      <c r="F517" s="714"/>
      <c r="G517" s="366"/>
      <c r="H517" s="648" t="s">
        <v>35</v>
      </c>
      <c r="I517" s="649"/>
      <c r="J517" s="649">
        <f>J518+J519</f>
        <v>0</v>
      </c>
      <c r="K517" s="650">
        <f t="shared" si="224"/>
        <v>0</v>
      </c>
      <c r="L517" s="167"/>
      <c r="M517" s="167"/>
      <c r="N517" s="167"/>
      <c r="O517" s="167"/>
      <c r="P517" s="167"/>
      <c r="Q517" s="598"/>
      <c r="R517" s="598"/>
      <c r="S517" s="598"/>
      <c r="T517" s="598"/>
      <c r="U517" s="598"/>
      <c r="V517" s="598"/>
      <c r="W517" s="598"/>
      <c r="X517" s="598"/>
      <c r="Y517" s="598"/>
      <c r="Z517" s="598"/>
    </row>
    <row r="518" spans="1:26" ht="18.75" hidden="1">
      <c r="A518" s="608"/>
      <c r="B518" s="610"/>
      <c r="C518" s="610"/>
      <c r="D518" s="610"/>
      <c r="E518" s="610" t="s">
        <v>223</v>
      </c>
      <c r="F518" s="714"/>
      <c r="G518" s="366"/>
      <c r="H518" s="370" t="s">
        <v>35</v>
      </c>
      <c r="I518" s="611"/>
      <c r="J518" s="611"/>
      <c r="K518" s="167"/>
      <c r="L518" s="167"/>
      <c r="M518" s="167"/>
      <c r="N518" s="167"/>
      <c r="O518" s="167"/>
      <c r="P518" s="167"/>
      <c r="Q518" s="598"/>
      <c r="R518" s="598"/>
      <c r="S518" s="598"/>
      <c r="T518" s="598"/>
      <c r="U518" s="598"/>
      <c r="V518" s="598"/>
      <c r="W518" s="598"/>
      <c r="X518" s="598"/>
      <c r="Y518" s="598"/>
      <c r="Z518" s="598"/>
    </row>
    <row r="519" spans="1:26" ht="18.75" hidden="1">
      <c r="A519" s="608"/>
      <c r="B519" s="610"/>
      <c r="C519" s="610"/>
      <c r="D519" s="610"/>
      <c r="E519" s="610" t="s">
        <v>224</v>
      </c>
      <c r="F519" s="714"/>
      <c r="G519" s="366"/>
      <c r="H519" s="647" t="s">
        <v>35</v>
      </c>
      <c r="I519" s="611"/>
      <c r="J519" s="611"/>
      <c r="K519" s="167"/>
      <c r="L519" s="167"/>
      <c r="M519" s="167"/>
      <c r="N519" s="167"/>
      <c r="O519" s="167"/>
      <c r="P519" s="167"/>
      <c r="Q519" s="598"/>
      <c r="R519" s="598"/>
      <c r="S519" s="598"/>
      <c r="T519" s="598"/>
      <c r="U519" s="598"/>
      <c r="V519" s="598"/>
      <c r="W519" s="598"/>
      <c r="X519" s="598"/>
      <c r="Y519" s="598"/>
      <c r="Z519" s="598"/>
    </row>
    <row r="520" spans="1:26" ht="19.5">
      <c r="A520" s="651" t="s">
        <v>137</v>
      </c>
      <c r="B520" s="652"/>
      <c r="C520" s="652"/>
      <c r="D520" s="653"/>
      <c r="E520" s="653"/>
      <c r="F520" s="653"/>
      <c r="G520" s="654"/>
      <c r="H520" s="655"/>
      <c r="I520" s="656"/>
      <c r="J520" s="656"/>
      <c r="K520" s="657"/>
      <c r="L520" s="657"/>
      <c r="M520" s="657"/>
      <c r="N520" s="657"/>
      <c r="O520" s="657"/>
      <c r="P520" s="657"/>
    </row>
    <row r="521" spans="1:26" ht="19.5" hidden="1">
      <c r="A521" s="658">
        <v>5</v>
      </c>
      <c r="B521" s="659" t="s">
        <v>225</v>
      </c>
      <c r="C521" s="660"/>
      <c r="D521" s="661"/>
      <c r="E521" s="661"/>
      <c r="F521" s="661"/>
      <c r="G521" s="661"/>
      <c r="H521" s="662"/>
      <c r="I521" s="663"/>
      <c r="J521" s="663"/>
      <c r="K521" s="664"/>
      <c r="L521" s="664"/>
      <c r="M521" s="664"/>
      <c r="N521" s="664"/>
      <c r="O521" s="664"/>
      <c r="P521" s="664"/>
      <c r="Q521" s="572"/>
      <c r="R521" s="572"/>
      <c r="S521" s="572"/>
      <c r="T521" s="572"/>
      <c r="U521" s="572"/>
      <c r="V521" s="572"/>
      <c r="W521" s="572"/>
      <c r="X521" s="572"/>
      <c r="Y521" s="572"/>
      <c r="Z521" s="572"/>
    </row>
    <row r="522" spans="1:26" ht="19.5" hidden="1">
      <c r="A522" s="665"/>
      <c r="B522" s="666" t="s">
        <v>226</v>
      </c>
      <c r="C522" s="667"/>
      <c r="D522" s="667"/>
      <c r="E522" s="667"/>
      <c r="F522" s="667"/>
      <c r="G522" s="668"/>
      <c r="H522" s="669" t="s">
        <v>35</v>
      </c>
      <c r="I522" s="702">
        <f t="shared" ref="I522:J522" ca="1" si="225">I537</f>
        <v>0</v>
      </c>
      <c r="J522" s="702">
        <f t="shared" ca="1" si="225"/>
        <v>0</v>
      </c>
      <c r="K522" s="671">
        <f ca="1">IF(I522&gt;0,J522*100/I522,0)</f>
        <v>0</v>
      </c>
      <c r="L522" s="672"/>
      <c r="M522" s="672"/>
      <c r="N522" s="672"/>
      <c r="O522" s="672"/>
      <c r="P522" s="672"/>
      <c r="Q522" s="572"/>
      <c r="R522" s="572"/>
      <c r="S522" s="572"/>
      <c r="T522" s="572"/>
      <c r="U522" s="572"/>
      <c r="V522" s="572"/>
      <c r="W522" s="572"/>
      <c r="X522" s="572"/>
      <c r="Y522" s="572"/>
      <c r="Z522" s="572"/>
    </row>
    <row r="523" spans="1:26" ht="19.5" hidden="1">
      <c r="A523" s="591"/>
      <c r="B523" s="757"/>
      <c r="C523" s="757" t="s">
        <v>16</v>
      </c>
      <c r="D523" s="887" t="s">
        <v>17</v>
      </c>
      <c r="E523" s="888"/>
      <c r="F523" s="888"/>
      <c r="G523" s="189"/>
      <c r="H523" s="592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2"/>
      <c r="R523" s="572"/>
      <c r="S523" s="572"/>
      <c r="T523" s="572"/>
      <c r="U523" s="572"/>
      <c r="V523" s="572"/>
      <c r="W523" s="572"/>
      <c r="X523" s="572"/>
      <c r="Y523" s="572"/>
      <c r="Z523" s="572"/>
    </row>
    <row r="524" spans="1:26" ht="18.75" hidden="1">
      <c r="A524" s="593"/>
      <c r="B524" s="753"/>
      <c r="C524" s="753"/>
      <c r="D524" s="714"/>
      <c r="E524" s="753" t="s">
        <v>184</v>
      </c>
      <c r="F524" s="753"/>
      <c r="G524" s="597"/>
      <c r="H524" s="165" t="s">
        <v>12</v>
      </c>
      <c r="I524" s="611"/>
      <c r="J524" s="611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598"/>
      <c r="R524" s="598"/>
      <c r="S524" s="598"/>
      <c r="T524" s="598"/>
      <c r="U524" s="598"/>
      <c r="V524" s="598"/>
      <c r="W524" s="598"/>
      <c r="X524" s="598"/>
      <c r="Y524" s="598"/>
      <c r="Z524" s="598"/>
    </row>
    <row r="525" spans="1:26" ht="18.75" hidden="1">
      <c r="A525" s="593"/>
      <c r="B525" s="601"/>
      <c r="C525" s="753"/>
      <c r="D525" s="714"/>
      <c r="E525" s="753" t="s">
        <v>185</v>
      </c>
      <c r="F525" s="753"/>
      <c r="G525" s="597"/>
      <c r="H525" s="165" t="s">
        <v>12</v>
      </c>
      <c r="I525" s="611"/>
      <c r="J525" s="611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598"/>
      <c r="R525" s="598"/>
      <c r="S525" s="598"/>
      <c r="T525" s="598"/>
      <c r="U525" s="598"/>
      <c r="V525" s="598"/>
      <c r="W525" s="598"/>
      <c r="X525" s="598"/>
      <c r="Y525" s="598"/>
      <c r="Z525" s="598"/>
    </row>
    <row r="526" spans="1:26" ht="18.75" hidden="1">
      <c r="A526" s="591"/>
      <c r="B526" s="569"/>
      <c r="C526" s="757"/>
      <c r="D526" s="600" t="s">
        <v>20</v>
      </c>
      <c r="E526" s="757"/>
      <c r="F526" s="757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2"/>
      <c r="R526" s="572"/>
      <c r="S526" s="572"/>
      <c r="T526" s="572"/>
      <c r="U526" s="572"/>
      <c r="V526" s="572"/>
      <c r="W526" s="572"/>
      <c r="X526" s="572"/>
      <c r="Y526" s="572"/>
      <c r="Z526" s="572"/>
    </row>
    <row r="527" spans="1:26" ht="18.75" hidden="1">
      <c r="A527" s="593"/>
      <c r="B527" s="601"/>
      <c r="C527" s="753"/>
      <c r="D527" s="714"/>
      <c r="E527" s="753" t="s">
        <v>184</v>
      </c>
      <c r="F527" s="753"/>
      <c r="G527" s="597"/>
      <c r="H527" s="165" t="s">
        <v>12</v>
      </c>
      <c r="I527" s="611"/>
      <c r="J527" s="611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598"/>
      <c r="R527" s="598"/>
      <c r="S527" s="598"/>
      <c r="T527" s="598"/>
      <c r="U527" s="598"/>
      <c r="V527" s="598"/>
      <c r="W527" s="598"/>
      <c r="X527" s="598"/>
      <c r="Y527" s="598"/>
      <c r="Z527" s="598"/>
    </row>
    <row r="528" spans="1:26" ht="18.75" hidden="1">
      <c r="A528" s="593"/>
      <c r="B528" s="601"/>
      <c r="C528" s="753"/>
      <c r="D528" s="714"/>
      <c r="E528" s="753" t="s">
        <v>185</v>
      </c>
      <c r="F528" s="753"/>
      <c r="G528" s="597"/>
      <c r="H528" s="165" t="s">
        <v>12</v>
      </c>
      <c r="I528" s="611"/>
      <c r="J528" s="611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598"/>
      <c r="R528" s="598"/>
      <c r="S528" s="598"/>
      <c r="T528" s="598"/>
      <c r="U528" s="598"/>
      <c r="V528" s="598"/>
      <c r="W528" s="598"/>
      <c r="X528" s="598"/>
      <c r="Y528" s="598"/>
      <c r="Z528" s="598"/>
    </row>
    <row r="529" spans="1:26" ht="18.75" hidden="1">
      <c r="A529" s="568"/>
      <c r="B529" s="569"/>
      <c r="C529" s="757"/>
      <c r="D529" s="757"/>
      <c r="E529" s="757"/>
      <c r="F529" s="757" t="s">
        <v>186</v>
      </c>
      <c r="G529" s="189"/>
      <c r="H529" s="161" t="s">
        <v>12</v>
      </c>
      <c r="I529" s="270"/>
      <c r="J529" s="270"/>
      <c r="K529" s="497"/>
      <c r="L529" s="497"/>
      <c r="M529" s="497"/>
      <c r="N529" s="834">
        <v>0</v>
      </c>
      <c r="O529" s="497"/>
      <c r="P529" s="497"/>
      <c r="Q529" s="572"/>
      <c r="R529" s="572"/>
      <c r="S529" s="572"/>
      <c r="T529" s="572"/>
      <c r="U529" s="572"/>
      <c r="V529" s="572"/>
      <c r="W529" s="572"/>
      <c r="X529" s="572"/>
      <c r="Y529" s="572"/>
      <c r="Z529" s="572"/>
    </row>
    <row r="530" spans="1:26" ht="18.75" hidden="1">
      <c r="A530" s="568"/>
      <c r="B530" s="569"/>
      <c r="C530" s="757"/>
      <c r="D530" s="757"/>
      <c r="E530" s="757"/>
      <c r="F530" s="757" t="s">
        <v>187</v>
      </c>
      <c r="G530" s="189"/>
      <c r="H530" s="161" t="s">
        <v>12</v>
      </c>
      <c r="I530" s="270"/>
      <c r="J530" s="270"/>
      <c r="K530" s="497"/>
      <c r="L530" s="497"/>
      <c r="M530" s="497"/>
      <c r="N530" s="834">
        <v>0</v>
      </c>
      <c r="O530" s="497"/>
      <c r="P530" s="497"/>
      <c r="Q530" s="572"/>
      <c r="R530" s="572"/>
      <c r="S530" s="572"/>
      <c r="T530" s="572"/>
      <c r="U530" s="572"/>
      <c r="V530" s="572"/>
      <c r="W530" s="572"/>
      <c r="X530" s="572"/>
      <c r="Y530" s="572"/>
      <c r="Z530" s="572"/>
    </row>
    <row r="531" spans="1:26" ht="18.75" hidden="1">
      <c r="A531" s="568"/>
      <c r="B531" s="569"/>
      <c r="C531" s="757"/>
      <c r="D531" s="757"/>
      <c r="E531" s="757"/>
      <c r="F531" s="757" t="s">
        <v>188</v>
      </c>
      <c r="G531" s="189"/>
      <c r="H531" s="161" t="s">
        <v>12</v>
      </c>
      <c r="I531" s="270"/>
      <c r="J531" s="270"/>
      <c r="K531" s="497"/>
      <c r="L531" s="497"/>
      <c r="M531" s="497"/>
      <c r="N531" s="834">
        <v>0</v>
      </c>
      <c r="O531" s="497"/>
      <c r="P531" s="497"/>
      <c r="Q531" s="572"/>
      <c r="R531" s="572"/>
      <c r="S531" s="572"/>
      <c r="T531" s="572"/>
      <c r="U531" s="572"/>
      <c r="V531" s="572"/>
      <c r="W531" s="572"/>
      <c r="X531" s="572"/>
      <c r="Y531" s="572"/>
      <c r="Z531" s="572"/>
    </row>
    <row r="532" spans="1:26" ht="18.75" hidden="1">
      <c r="A532" s="568"/>
      <c r="B532" s="569"/>
      <c r="C532" s="757"/>
      <c r="D532" s="757"/>
      <c r="E532" s="757"/>
      <c r="F532" s="757" t="s">
        <v>189</v>
      </c>
      <c r="G532" s="189"/>
      <c r="H532" s="161" t="s">
        <v>12</v>
      </c>
      <c r="I532" s="270"/>
      <c r="J532" s="270"/>
      <c r="K532" s="497"/>
      <c r="L532" s="497"/>
      <c r="M532" s="497"/>
      <c r="N532" s="834">
        <v>0</v>
      </c>
      <c r="O532" s="497"/>
      <c r="P532" s="497"/>
      <c r="Q532" s="572"/>
      <c r="R532" s="572"/>
      <c r="S532" s="572"/>
      <c r="T532" s="572"/>
      <c r="U532" s="572"/>
      <c r="V532" s="572"/>
      <c r="W532" s="572"/>
      <c r="X532" s="572"/>
      <c r="Y532" s="572"/>
      <c r="Z532" s="572"/>
    </row>
    <row r="533" spans="1:26" ht="18.75" hidden="1">
      <c r="A533" s="591"/>
      <c r="B533" s="569"/>
      <c r="C533" s="757"/>
      <c r="D533" s="600" t="s">
        <v>21</v>
      </c>
      <c r="E533" s="757"/>
      <c r="F533" s="757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2"/>
      <c r="R533" s="572"/>
      <c r="S533" s="572"/>
      <c r="T533" s="572"/>
      <c r="U533" s="572"/>
      <c r="V533" s="572"/>
      <c r="W533" s="572"/>
      <c r="X533" s="572"/>
      <c r="Y533" s="572"/>
      <c r="Z533" s="572"/>
    </row>
    <row r="534" spans="1:26" ht="18.75" hidden="1">
      <c r="A534" s="593"/>
      <c r="B534" s="601"/>
      <c r="C534" s="753"/>
      <c r="D534" s="753"/>
      <c r="E534" s="753" t="s">
        <v>18</v>
      </c>
      <c r="F534" s="753"/>
      <c r="G534" s="597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598"/>
      <c r="R534" s="598"/>
      <c r="S534" s="598"/>
      <c r="T534" s="598"/>
      <c r="U534" s="598"/>
      <c r="V534" s="598"/>
      <c r="W534" s="598"/>
      <c r="X534" s="598"/>
      <c r="Y534" s="598"/>
      <c r="Z534" s="598"/>
    </row>
    <row r="535" spans="1:26" ht="18.75" hidden="1">
      <c r="A535" s="593"/>
      <c r="B535" s="601"/>
      <c r="C535" s="753"/>
      <c r="D535" s="753"/>
      <c r="E535" s="753" t="s">
        <v>19</v>
      </c>
      <c r="F535" s="753"/>
      <c r="G535" s="597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598"/>
      <c r="R535" s="598"/>
      <c r="S535" s="598"/>
      <c r="T535" s="598"/>
      <c r="U535" s="598"/>
      <c r="V535" s="598"/>
      <c r="W535" s="598"/>
      <c r="X535" s="598"/>
      <c r="Y535" s="598"/>
      <c r="Z535" s="598"/>
    </row>
    <row r="536" spans="1:26" ht="19.5" hidden="1">
      <c r="A536" s="602"/>
      <c r="B536" s="612"/>
      <c r="C536" s="757" t="s">
        <v>16</v>
      </c>
      <c r="D536" s="863" t="s">
        <v>38</v>
      </c>
      <c r="E536" s="755"/>
      <c r="F536" s="755"/>
      <c r="G536" s="607"/>
      <c r="H536" s="756"/>
      <c r="I536" s="184"/>
      <c r="J536" s="184"/>
      <c r="K536" s="163"/>
      <c r="L536" s="163"/>
      <c r="M536" s="163"/>
      <c r="N536" s="163"/>
      <c r="O536" s="163"/>
      <c r="P536" s="163"/>
      <c r="Q536" s="572"/>
      <c r="R536" s="572"/>
      <c r="S536" s="572"/>
      <c r="T536" s="572"/>
      <c r="U536" s="572"/>
      <c r="V536" s="572"/>
      <c r="W536" s="572"/>
      <c r="X536" s="572"/>
      <c r="Y536" s="572"/>
      <c r="Z536" s="572"/>
    </row>
    <row r="537" spans="1:26" ht="19.5" hidden="1">
      <c r="A537" s="568"/>
      <c r="B537" s="569"/>
      <c r="C537" s="757"/>
      <c r="D537" s="757" t="s">
        <v>227</v>
      </c>
      <c r="E537" s="757"/>
      <c r="F537" s="757"/>
      <c r="G537" s="189"/>
      <c r="H537" s="617" t="s">
        <v>35</v>
      </c>
      <c r="I537" s="675">
        <f ca="1">IFERROR(__xludf.DUMMYFUNCTION("IMPORTRANGE(""https://docs.google.com/spreadsheets/d/1QqKyyYR6Q21VydFLVH3TRQUabQu_ym0Zz7PgGX0-kHA/edit?usp=sharing"",""แผน!GU39"")"),0)</f>
        <v>0</v>
      </c>
      <c r="J537" s="675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76"/>
      <c r="R537" s="676"/>
      <c r="S537" s="676"/>
      <c r="T537" s="676"/>
      <c r="U537" s="676"/>
      <c r="V537" s="676"/>
      <c r="W537" s="676"/>
      <c r="X537" s="676"/>
      <c r="Y537" s="676"/>
      <c r="Z537" s="676"/>
    </row>
    <row r="538" spans="1:26" ht="18.75" hidden="1">
      <c r="A538" s="568"/>
      <c r="B538" s="569"/>
      <c r="C538" s="757"/>
      <c r="D538" s="757"/>
      <c r="E538" s="757" t="s">
        <v>228</v>
      </c>
      <c r="F538" s="757"/>
      <c r="G538" s="189"/>
      <c r="H538" s="617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76"/>
      <c r="R538" s="676"/>
      <c r="S538" s="676"/>
      <c r="T538" s="676"/>
      <c r="U538" s="676"/>
      <c r="V538" s="676"/>
      <c r="W538" s="676"/>
      <c r="X538" s="676"/>
      <c r="Y538" s="676"/>
      <c r="Z538" s="676"/>
    </row>
    <row r="539" spans="1:26" ht="18.75" hidden="1">
      <c r="A539" s="568"/>
      <c r="B539" s="569"/>
      <c r="C539" s="757"/>
      <c r="D539" s="757"/>
      <c r="E539" s="757" t="s">
        <v>229</v>
      </c>
      <c r="F539" s="757"/>
      <c r="G539" s="189"/>
      <c r="H539" s="617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76"/>
      <c r="R539" s="676"/>
      <c r="S539" s="676"/>
      <c r="T539" s="676"/>
      <c r="U539" s="676"/>
      <c r="V539" s="676"/>
      <c r="W539" s="676"/>
      <c r="X539" s="676"/>
      <c r="Y539" s="676"/>
      <c r="Z539" s="676"/>
    </row>
    <row r="540" spans="1:26" ht="18.75" hidden="1">
      <c r="A540" s="568"/>
      <c r="B540" s="569"/>
      <c r="C540" s="757"/>
      <c r="D540" s="757"/>
      <c r="E540" s="757" t="s">
        <v>230</v>
      </c>
      <c r="F540" s="757"/>
      <c r="G540" s="189"/>
      <c r="H540" s="617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76"/>
      <c r="R540" s="676"/>
      <c r="S540" s="676"/>
      <c r="T540" s="676"/>
      <c r="U540" s="676"/>
      <c r="V540" s="676"/>
      <c r="W540" s="676"/>
      <c r="X540" s="676"/>
      <c r="Y540" s="676"/>
      <c r="Z540" s="676"/>
    </row>
    <row r="541" spans="1:26" ht="18.75" hidden="1">
      <c r="A541" s="568"/>
      <c r="B541" s="569"/>
      <c r="C541" s="757"/>
      <c r="D541" s="757"/>
      <c r="E541" s="763" t="s">
        <v>231</v>
      </c>
      <c r="F541" s="757"/>
      <c r="G541" s="189"/>
      <c r="H541" s="617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76"/>
      <c r="R541" s="676"/>
      <c r="S541" s="676"/>
      <c r="T541" s="676"/>
      <c r="U541" s="676"/>
      <c r="V541" s="676"/>
      <c r="W541" s="676"/>
      <c r="X541" s="676"/>
      <c r="Y541" s="676"/>
      <c r="Z541" s="676"/>
    </row>
    <row r="542" spans="1:26" ht="18.75" hidden="1">
      <c r="A542" s="568"/>
      <c r="B542" s="569"/>
      <c r="C542" s="757"/>
      <c r="D542" s="757" t="s">
        <v>59</v>
      </c>
      <c r="E542" s="757"/>
      <c r="F542" s="757"/>
      <c r="G542" s="189"/>
      <c r="H542" s="617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76"/>
      <c r="R542" s="676"/>
      <c r="S542" s="676"/>
      <c r="T542" s="676"/>
      <c r="U542" s="676"/>
      <c r="V542" s="676"/>
      <c r="W542" s="676"/>
      <c r="X542" s="676"/>
      <c r="Y542" s="676"/>
      <c r="Z542" s="676"/>
    </row>
    <row r="543" spans="1:26" ht="19.5">
      <c r="A543" s="658">
        <v>6</v>
      </c>
      <c r="B543" s="679" t="s">
        <v>232</v>
      </c>
      <c r="C543" s="661"/>
      <c r="D543" s="661"/>
      <c r="E543" s="661"/>
      <c r="F543" s="661"/>
      <c r="G543" s="662"/>
      <c r="H543" s="680" t="s">
        <v>46</v>
      </c>
      <c r="I543" s="681">
        <f t="shared" ref="I543:J543" ca="1" si="235">I559</f>
        <v>36261</v>
      </c>
      <c r="J543" s="681">
        <f t="shared" si="235"/>
        <v>0</v>
      </c>
      <c r="K543" s="682">
        <f t="shared" ca="1" si="234"/>
        <v>0</v>
      </c>
      <c r="L543" s="664"/>
      <c r="M543" s="664"/>
      <c r="N543" s="664"/>
      <c r="O543" s="664"/>
      <c r="P543" s="664"/>
      <c r="Q543" s="572"/>
      <c r="R543" s="572"/>
      <c r="S543" s="572"/>
      <c r="T543" s="572"/>
      <c r="U543" s="572"/>
      <c r="V543" s="572"/>
      <c r="W543" s="572"/>
      <c r="X543" s="572"/>
      <c r="Y543" s="572"/>
      <c r="Z543" s="572"/>
    </row>
    <row r="544" spans="1:26" ht="19.5">
      <c r="A544" s="683"/>
      <c r="B544" s="684"/>
      <c r="C544" s="684" t="s">
        <v>16</v>
      </c>
      <c r="D544" s="912" t="s">
        <v>17</v>
      </c>
      <c r="E544" s="890"/>
      <c r="F544" s="890"/>
      <c r="G544" s="685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si="236"/>
        <v>0</v>
      </c>
      <c r="N544" s="155">
        <f t="shared" si="236"/>
        <v>78752.399999999994</v>
      </c>
      <c r="O544" s="155">
        <f t="shared" ref="O544:O549" ca="1" si="237">IF(L544&gt;0,N544*100/L544,0)</f>
        <v>21.143343472879621</v>
      </c>
      <c r="P544" s="155">
        <f t="shared" ref="P544:P549" si="238">IF(M544&gt;0,N544*100/M544,0)</f>
        <v>0</v>
      </c>
      <c r="Q544" s="572"/>
      <c r="R544" s="572"/>
      <c r="S544" s="572"/>
      <c r="T544" s="572"/>
      <c r="U544" s="572"/>
      <c r="V544" s="572"/>
      <c r="W544" s="572"/>
      <c r="X544" s="572"/>
      <c r="Y544" s="572"/>
      <c r="Z544" s="572"/>
    </row>
    <row r="545" spans="1:26" ht="18.75" hidden="1">
      <c r="A545" s="593"/>
      <c r="B545" s="753"/>
      <c r="C545" s="753"/>
      <c r="D545" s="753"/>
      <c r="E545" s="753" t="s">
        <v>184</v>
      </c>
      <c r="F545" s="753"/>
      <c r="G545" s="597"/>
      <c r="H545" s="165" t="s">
        <v>12</v>
      </c>
      <c r="I545" s="611"/>
      <c r="J545" s="611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598"/>
      <c r="R545" s="598"/>
      <c r="S545" s="598"/>
      <c r="T545" s="598"/>
      <c r="U545" s="598"/>
      <c r="V545" s="598"/>
      <c r="W545" s="598"/>
      <c r="X545" s="598"/>
      <c r="Y545" s="598"/>
      <c r="Z545" s="598"/>
    </row>
    <row r="546" spans="1:26" ht="18.75" hidden="1">
      <c r="A546" s="593"/>
      <c r="B546" s="601"/>
      <c r="C546" s="753"/>
      <c r="D546" s="753"/>
      <c r="E546" s="753" t="s">
        <v>185</v>
      </c>
      <c r="F546" s="753"/>
      <c r="G546" s="597"/>
      <c r="H546" s="165" t="s">
        <v>12</v>
      </c>
      <c r="I546" s="611"/>
      <c r="J546" s="611"/>
      <c r="K546" s="93"/>
      <c r="L546" s="93">
        <f t="shared" ca="1" si="239"/>
        <v>372469</v>
      </c>
      <c r="M546" s="93">
        <f t="shared" si="240"/>
        <v>0</v>
      </c>
      <c r="N546" s="93">
        <f t="shared" si="240"/>
        <v>78752.399999999994</v>
      </c>
      <c r="O546" s="93">
        <f t="shared" ca="1" si="237"/>
        <v>21.143343472879621</v>
      </c>
      <c r="P546" s="93">
        <f t="shared" si="238"/>
        <v>0</v>
      </c>
      <c r="Q546" s="598"/>
      <c r="R546" s="598"/>
      <c r="S546" s="598"/>
      <c r="T546" s="598"/>
      <c r="U546" s="598"/>
      <c r="V546" s="598"/>
      <c r="W546" s="598"/>
      <c r="X546" s="598"/>
      <c r="Y546" s="598"/>
      <c r="Z546" s="598"/>
    </row>
    <row r="547" spans="1:26" ht="18.75">
      <c r="A547" s="591"/>
      <c r="B547" s="569"/>
      <c r="C547" s="757"/>
      <c r="D547" s="600" t="s">
        <v>20</v>
      </c>
      <c r="E547" s="757"/>
      <c r="F547" s="757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si="241"/>
        <v>0</v>
      </c>
      <c r="N547" s="497">
        <f t="shared" si="241"/>
        <v>78752.399999999994</v>
      </c>
      <c r="O547" s="497">
        <f t="shared" ca="1" si="237"/>
        <v>21.143343472879621</v>
      </c>
      <c r="P547" s="497">
        <f t="shared" si="238"/>
        <v>0</v>
      </c>
      <c r="Q547" s="572"/>
      <c r="R547" s="572"/>
      <c r="S547" s="572"/>
      <c r="T547" s="572"/>
      <c r="U547" s="572"/>
      <c r="V547" s="572"/>
      <c r="W547" s="572"/>
      <c r="X547" s="572"/>
      <c r="Y547" s="572"/>
      <c r="Z547" s="572"/>
    </row>
    <row r="548" spans="1:26" ht="18.75" hidden="1">
      <c r="A548" s="593"/>
      <c r="B548" s="601"/>
      <c r="C548" s="753"/>
      <c r="D548" s="714"/>
      <c r="E548" s="753" t="s">
        <v>184</v>
      </c>
      <c r="F548" s="753"/>
      <c r="G548" s="597"/>
      <c r="H548" s="165" t="s">
        <v>12</v>
      </c>
      <c r="I548" s="611"/>
      <c r="J548" s="611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598"/>
      <c r="R548" s="598"/>
      <c r="S548" s="598"/>
      <c r="T548" s="598"/>
      <c r="U548" s="598"/>
      <c r="V548" s="598"/>
      <c r="W548" s="598"/>
      <c r="X548" s="598"/>
      <c r="Y548" s="598"/>
      <c r="Z548" s="598"/>
    </row>
    <row r="549" spans="1:26" ht="18.75" hidden="1">
      <c r="A549" s="593"/>
      <c r="B549" s="601"/>
      <c r="C549" s="753"/>
      <c r="D549" s="714"/>
      <c r="E549" s="753" t="s">
        <v>185</v>
      </c>
      <c r="F549" s="753"/>
      <c r="G549" s="597"/>
      <c r="H549" s="165" t="s">
        <v>12</v>
      </c>
      <c r="I549" s="611"/>
      <c r="J549" s="611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v>0</v>
      </c>
      <c r="N549" s="93">
        <f>N550+N551+N552+N553+N554</f>
        <v>78752.399999999994</v>
      </c>
      <c r="O549" s="93">
        <f t="shared" ca="1" si="237"/>
        <v>21.143343472879621</v>
      </c>
      <c r="P549" s="93">
        <f t="shared" si="238"/>
        <v>0</v>
      </c>
      <c r="Q549" s="598"/>
      <c r="R549" s="598"/>
      <c r="S549" s="598"/>
      <c r="T549" s="598"/>
      <c r="U549" s="598"/>
      <c r="V549" s="598"/>
      <c r="W549" s="598"/>
      <c r="X549" s="598"/>
      <c r="Y549" s="598"/>
      <c r="Z549" s="598"/>
    </row>
    <row r="550" spans="1:26" ht="18.75">
      <c r="A550" s="568"/>
      <c r="B550" s="569"/>
      <c r="C550" s="757"/>
      <c r="D550" s="757"/>
      <c r="E550" s="757"/>
      <c r="F550" s="757" t="s">
        <v>186</v>
      </c>
      <c r="G550" s="189"/>
      <c r="H550" s="161" t="s">
        <v>12</v>
      </c>
      <c r="I550" s="270"/>
      <c r="J550" s="270"/>
      <c r="K550" s="497"/>
      <c r="L550" s="497"/>
      <c r="M550" s="497"/>
      <c r="N550" s="834">
        <v>0</v>
      </c>
      <c r="O550" s="497"/>
      <c r="P550" s="497"/>
      <c r="Q550" s="572"/>
      <c r="R550" s="572"/>
      <c r="S550" s="572"/>
      <c r="T550" s="572"/>
      <c r="U550" s="572"/>
      <c r="V550" s="572"/>
      <c r="W550" s="572"/>
      <c r="X550" s="572"/>
      <c r="Y550" s="572"/>
      <c r="Z550" s="572"/>
    </row>
    <row r="551" spans="1:26" ht="18.75">
      <c r="A551" s="568"/>
      <c r="B551" s="569"/>
      <c r="C551" s="569"/>
      <c r="D551" s="569"/>
      <c r="E551" s="757"/>
      <c r="F551" s="757" t="s">
        <v>187</v>
      </c>
      <c r="G551" s="189"/>
      <c r="H551" s="161" t="s">
        <v>12</v>
      </c>
      <c r="I551" s="270"/>
      <c r="J551" s="270"/>
      <c r="K551" s="497"/>
      <c r="L551" s="497"/>
      <c r="M551" s="497"/>
      <c r="N551" s="834">
        <v>0</v>
      </c>
      <c r="O551" s="497"/>
      <c r="P551" s="497"/>
      <c r="Q551" s="572"/>
      <c r="R551" s="572"/>
      <c r="S551" s="572"/>
      <c r="T551" s="572"/>
      <c r="U551" s="572"/>
      <c r="V551" s="572"/>
      <c r="W551" s="572"/>
      <c r="X551" s="572"/>
      <c r="Y551" s="572"/>
      <c r="Z551" s="572"/>
    </row>
    <row r="552" spans="1:26" ht="18.75">
      <c r="A552" s="568"/>
      <c r="B552" s="569"/>
      <c r="C552" s="757"/>
      <c r="D552" s="757"/>
      <c r="E552" s="757"/>
      <c r="F552" s="757" t="s">
        <v>188</v>
      </c>
      <c r="G552" s="189"/>
      <c r="H552" s="161" t="s">
        <v>12</v>
      </c>
      <c r="I552" s="270"/>
      <c r="J552" s="270"/>
      <c r="K552" s="497"/>
      <c r="L552" s="497"/>
      <c r="M552" s="497"/>
      <c r="N552" s="834">
        <v>39000</v>
      </c>
      <c r="O552" s="497"/>
      <c r="P552" s="497"/>
      <c r="Q552" s="572"/>
      <c r="R552" s="572"/>
      <c r="S552" s="572"/>
      <c r="T552" s="572"/>
      <c r="U552" s="572"/>
      <c r="V552" s="572"/>
      <c r="W552" s="572"/>
      <c r="X552" s="572"/>
      <c r="Y552" s="572"/>
      <c r="Z552" s="572"/>
    </row>
    <row r="553" spans="1:26" ht="18.75">
      <c r="A553" s="568"/>
      <c r="B553" s="569"/>
      <c r="C553" s="569"/>
      <c r="D553" s="569"/>
      <c r="E553" s="757"/>
      <c r="F553" s="757" t="s">
        <v>189</v>
      </c>
      <c r="G553" s="189"/>
      <c r="H553" s="161" t="s">
        <v>12</v>
      </c>
      <c r="I553" s="270"/>
      <c r="J553" s="270"/>
      <c r="K553" s="497"/>
      <c r="L553" s="497"/>
      <c r="M553" s="497"/>
      <c r="N553" s="834">
        <v>37802.400000000001</v>
      </c>
      <c r="O553" s="497"/>
      <c r="P553" s="497"/>
      <c r="Q553" s="572"/>
      <c r="R553" s="572"/>
      <c r="S553" s="572"/>
      <c r="T553" s="572"/>
      <c r="U553" s="572"/>
      <c r="V553" s="572"/>
      <c r="W553" s="572"/>
      <c r="X553" s="572"/>
      <c r="Y553" s="572"/>
      <c r="Z553" s="572"/>
    </row>
    <row r="554" spans="1:26" ht="18.75">
      <c r="A554" s="568"/>
      <c r="B554" s="569"/>
      <c r="C554" s="569"/>
      <c r="D554" s="569"/>
      <c r="E554" s="757"/>
      <c r="F554" s="757" t="s">
        <v>233</v>
      </c>
      <c r="G554" s="189"/>
      <c r="H554" s="161" t="s">
        <v>12</v>
      </c>
      <c r="I554" s="270"/>
      <c r="J554" s="270"/>
      <c r="K554" s="497"/>
      <c r="L554" s="497"/>
      <c r="M554" s="497"/>
      <c r="N554" s="834">
        <v>1950</v>
      </c>
      <c r="O554" s="497"/>
      <c r="P554" s="497"/>
      <c r="Q554" s="572"/>
      <c r="R554" s="572"/>
      <c r="S554" s="572"/>
      <c r="T554" s="572"/>
      <c r="U554" s="572"/>
      <c r="V554" s="572"/>
      <c r="W554" s="572"/>
      <c r="X554" s="572"/>
      <c r="Y554" s="572"/>
      <c r="Z554" s="572"/>
    </row>
    <row r="555" spans="1:26" ht="18.75">
      <c r="A555" s="591"/>
      <c r="B555" s="569"/>
      <c r="C555" s="569"/>
      <c r="D555" s="600" t="s">
        <v>21</v>
      </c>
      <c r="E555" s="757"/>
      <c r="F555" s="757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2"/>
      <c r="R555" s="572"/>
      <c r="S555" s="572"/>
      <c r="T555" s="572"/>
      <c r="U555" s="572"/>
      <c r="V555" s="572"/>
      <c r="W555" s="572"/>
      <c r="X555" s="572"/>
      <c r="Y555" s="572"/>
      <c r="Z555" s="572"/>
    </row>
    <row r="556" spans="1:26" ht="18.75" hidden="1">
      <c r="A556" s="593"/>
      <c r="B556" s="601"/>
      <c r="C556" s="601"/>
      <c r="D556" s="753"/>
      <c r="E556" s="753" t="s">
        <v>18</v>
      </c>
      <c r="F556" s="753"/>
      <c r="G556" s="597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598"/>
      <c r="R556" s="598"/>
      <c r="S556" s="598"/>
      <c r="T556" s="598"/>
      <c r="U556" s="598"/>
      <c r="V556" s="598"/>
      <c r="W556" s="598"/>
      <c r="X556" s="598"/>
      <c r="Y556" s="598"/>
      <c r="Z556" s="598"/>
    </row>
    <row r="557" spans="1:26" ht="18.75" hidden="1">
      <c r="A557" s="593"/>
      <c r="B557" s="601"/>
      <c r="C557" s="601"/>
      <c r="D557" s="753"/>
      <c r="E557" s="753" t="s">
        <v>19</v>
      </c>
      <c r="F557" s="753"/>
      <c r="G557" s="597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598"/>
      <c r="R557" s="598"/>
      <c r="S557" s="598"/>
      <c r="T557" s="598"/>
      <c r="U557" s="598"/>
      <c r="V557" s="598"/>
      <c r="W557" s="598"/>
      <c r="X557" s="598"/>
      <c r="Y557" s="598"/>
      <c r="Z557" s="598"/>
    </row>
    <row r="558" spans="1:26" ht="19.5">
      <c r="A558" s="602"/>
      <c r="B558" s="612"/>
      <c r="C558" s="569" t="s">
        <v>16</v>
      </c>
      <c r="D558" s="863" t="s">
        <v>38</v>
      </c>
      <c r="E558" s="755"/>
      <c r="F558" s="755"/>
      <c r="G558" s="607"/>
      <c r="H558" s="756"/>
      <c r="I558" s="184"/>
      <c r="J558" s="184"/>
      <c r="K558" s="163"/>
      <c r="L558" s="163"/>
      <c r="M558" s="163"/>
      <c r="N558" s="163"/>
      <c r="O558" s="163"/>
      <c r="P558" s="163"/>
      <c r="Q558" s="572"/>
      <c r="R558" s="572"/>
      <c r="S558" s="572"/>
      <c r="T558" s="572"/>
      <c r="U558" s="572"/>
      <c r="V558" s="572"/>
      <c r="W558" s="572"/>
      <c r="X558" s="572"/>
      <c r="Y558" s="572"/>
      <c r="Z558" s="572"/>
    </row>
    <row r="559" spans="1:26" ht="19.5">
      <c r="A559" s="686"/>
      <c r="B559" s="687" t="s">
        <v>234</v>
      </c>
      <c r="C559" s="688"/>
      <c r="D559" s="688"/>
      <c r="E559" s="667"/>
      <c r="F559" s="667"/>
      <c r="G559" s="668"/>
      <c r="H559" s="689" t="s">
        <v>46</v>
      </c>
      <c r="I559" s="702">
        <f t="shared" ref="I559:J559" ca="1" si="245">I576</f>
        <v>36261</v>
      </c>
      <c r="J559" s="702">
        <f t="shared" si="245"/>
        <v>0</v>
      </c>
      <c r="K559" s="671">
        <f t="shared" ref="K559:K561" ca="1" si="246">IF(I559&gt;0,J559*100/I559,0)</f>
        <v>0</v>
      </c>
      <c r="L559" s="672"/>
      <c r="M559" s="672"/>
      <c r="N559" s="672"/>
      <c r="O559" s="672"/>
      <c r="P559" s="672"/>
      <c r="Q559" s="572"/>
      <c r="R559" s="572"/>
      <c r="S559" s="572"/>
      <c r="T559" s="572"/>
      <c r="U559" s="572"/>
      <c r="V559" s="572"/>
      <c r="W559" s="572"/>
      <c r="X559" s="572"/>
      <c r="Y559" s="572"/>
      <c r="Z559" s="572"/>
    </row>
    <row r="560" spans="1:26" ht="19.5">
      <c r="A560" s="602"/>
      <c r="B560" s="612"/>
      <c r="C560" s="619" t="s">
        <v>235</v>
      </c>
      <c r="D560" s="612"/>
      <c r="E560" s="620"/>
      <c r="F560" s="620"/>
      <c r="G560" s="756"/>
      <c r="H560" s="761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11820</v>
      </c>
      <c r="K560" s="411">
        <f t="shared" ca="1" si="246"/>
        <v>32.597005046744435</v>
      </c>
      <c r="L560" s="163"/>
      <c r="M560" s="163"/>
      <c r="N560" s="163"/>
      <c r="O560" s="163"/>
      <c r="P560" s="163"/>
      <c r="Q560" s="572"/>
      <c r="R560" s="572"/>
      <c r="S560" s="572"/>
      <c r="T560" s="572"/>
      <c r="U560" s="572"/>
      <c r="V560" s="572"/>
      <c r="W560" s="572"/>
      <c r="X560" s="572"/>
      <c r="Y560" s="572"/>
      <c r="Z560" s="572"/>
    </row>
    <row r="561" spans="1:26" ht="19.5">
      <c r="A561" s="602"/>
      <c r="B561" s="612"/>
      <c r="C561" s="612"/>
      <c r="D561" s="620"/>
      <c r="E561" s="620"/>
      <c r="F561" s="620"/>
      <c r="G561" s="756"/>
      <c r="H561" s="761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1148</v>
      </c>
      <c r="K561" s="411">
        <f t="shared" ca="1" si="246"/>
        <v>31.289179612973562</v>
      </c>
      <c r="L561" s="163"/>
      <c r="M561" s="163"/>
      <c r="N561" s="163"/>
      <c r="O561" s="163"/>
      <c r="P561" s="163"/>
      <c r="Q561" s="572"/>
      <c r="R561" s="572"/>
      <c r="S561" s="572"/>
      <c r="T561" s="572"/>
      <c r="U561" s="572"/>
      <c r="V561" s="572"/>
      <c r="W561" s="572"/>
      <c r="X561" s="572"/>
      <c r="Y561" s="572"/>
      <c r="Z561" s="572"/>
    </row>
    <row r="562" spans="1:26" ht="18.75">
      <c r="A562" s="602"/>
      <c r="B562" s="612"/>
      <c r="C562" s="612"/>
      <c r="D562" s="620" t="s">
        <v>236</v>
      </c>
      <c r="E562" s="620"/>
      <c r="F562" s="620"/>
      <c r="G562" s="756"/>
      <c r="H562" s="758" t="s">
        <v>46</v>
      </c>
      <c r="I562" s="184"/>
      <c r="J562" s="215">
        <v>10914</v>
      </c>
      <c r="K562" s="163"/>
      <c r="L562" s="163"/>
      <c r="M562" s="163"/>
      <c r="N562" s="163"/>
      <c r="O562" s="163"/>
      <c r="P562" s="163"/>
      <c r="Q562" s="572"/>
      <c r="R562" s="572"/>
      <c r="S562" s="572"/>
      <c r="T562" s="572"/>
      <c r="U562" s="572"/>
      <c r="V562" s="572"/>
      <c r="W562" s="572"/>
      <c r="X562" s="572"/>
      <c r="Y562" s="572"/>
      <c r="Z562" s="572"/>
    </row>
    <row r="563" spans="1:26" ht="18.75">
      <c r="A563" s="602"/>
      <c r="B563" s="612"/>
      <c r="C563" s="612"/>
      <c r="D563" s="612"/>
      <c r="E563" s="620"/>
      <c r="F563" s="620"/>
      <c r="G563" s="756"/>
      <c r="H563" s="758" t="s">
        <v>34</v>
      </c>
      <c r="I563" s="184"/>
      <c r="J563" s="215">
        <v>1042</v>
      </c>
      <c r="K563" s="163"/>
      <c r="L563" s="163"/>
      <c r="M563" s="163"/>
      <c r="N563" s="163"/>
      <c r="O563" s="163"/>
      <c r="P563" s="163"/>
      <c r="Q563" s="572"/>
      <c r="R563" s="572"/>
      <c r="S563" s="572"/>
      <c r="T563" s="572"/>
      <c r="U563" s="572"/>
      <c r="V563" s="572"/>
      <c r="W563" s="572"/>
      <c r="X563" s="572"/>
      <c r="Y563" s="572"/>
      <c r="Z563" s="572"/>
    </row>
    <row r="564" spans="1:26" ht="18.75">
      <c r="A564" s="602"/>
      <c r="B564" s="612"/>
      <c r="C564" s="612"/>
      <c r="D564" s="620" t="s">
        <v>237</v>
      </c>
      <c r="E564" s="620"/>
      <c r="F564" s="620"/>
      <c r="G564" s="756"/>
      <c r="H564" s="758" t="s">
        <v>46</v>
      </c>
      <c r="I564" s="184"/>
      <c r="J564" s="215">
        <v>906</v>
      </c>
      <c r="K564" s="163"/>
      <c r="L564" s="163"/>
      <c r="M564" s="163"/>
      <c r="N564" s="163"/>
      <c r="O564" s="163"/>
      <c r="P564" s="163"/>
      <c r="Q564" s="572"/>
      <c r="R564" s="572"/>
      <c r="S564" s="572"/>
      <c r="T564" s="572"/>
      <c r="U564" s="572"/>
      <c r="V564" s="572"/>
      <c r="W564" s="572"/>
      <c r="X564" s="572"/>
      <c r="Y564" s="572"/>
      <c r="Z564" s="572"/>
    </row>
    <row r="565" spans="1:26" ht="18.75">
      <c r="A565" s="602"/>
      <c r="B565" s="612"/>
      <c r="C565" s="612"/>
      <c r="D565" s="620"/>
      <c r="E565" s="620"/>
      <c r="F565" s="620"/>
      <c r="G565" s="756"/>
      <c r="H565" s="758" t="s">
        <v>34</v>
      </c>
      <c r="I565" s="184"/>
      <c r="J565" s="215">
        <v>106</v>
      </c>
      <c r="K565" s="163"/>
      <c r="L565" s="163"/>
      <c r="M565" s="163"/>
      <c r="N565" s="163"/>
      <c r="O565" s="163"/>
      <c r="P565" s="163"/>
      <c r="Q565" s="572"/>
      <c r="R565" s="572"/>
      <c r="S565" s="572"/>
      <c r="T565" s="572"/>
      <c r="U565" s="572"/>
      <c r="V565" s="572"/>
      <c r="W565" s="572"/>
      <c r="X565" s="572"/>
      <c r="Y565" s="572"/>
      <c r="Z565" s="572"/>
    </row>
    <row r="566" spans="1:26" ht="18.75">
      <c r="A566" s="602"/>
      <c r="B566" s="612"/>
      <c r="C566" s="612"/>
      <c r="D566" s="620" t="s">
        <v>238</v>
      </c>
      <c r="E566" s="620"/>
      <c r="F566" s="620"/>
      <c r="G566" s="756"/>
      <c r="H566" s="758" t="s">
        <v>46</v>
      </c>
      <c r="I566" s="184"/>
      <c r="J566" s="215">
        <v>0</v>
      </c>
      <c r="K566" s="163"/>
      <c r="L566" s="163"/>
      <c r="M566" s="163"/>
      <c r="N566" s="163"/>
      <c r="O566" s="163"/>
      <c r="P566" s="163"/>
      <c r="Q566" s="572"/>
      <c r="R566" s="572"/>
      <c r="S566" s="572"/>
      <c r="T566" s="572"/>
      <c r="U566" s="572"/>
      <c r="V566" s="572"/>
      <c r="W566" s="572"/>
      <c r="X566" s="572"/>
      <c r="Y566" s="572"/>
      <c r="Z566" s="572"/>
    </row>
    <row r="567" spans="1:26" ht="18.75">
      <c r="A567" s="602"/>
      <c r="B567" s="612"/>
      <c r="C567" s="612"/>
      <c r="D567" s="620"/>
      <c r="E567" s="620"/>
      <c r="F567" s="620"/>
      <c r="G567" s="756"/>
      <c r="H567" s="758" t="s">
        <v>34</v>
      </c>
      <c r="I567" s="184"/>
      <c r="J567" s="215">
        <v>0</v>
      </c>
      <c r="K567" s="163"/>
      <c r="L567" s="163"/>
      <c r="M567" s="163"/>
      <c r="N567" s="163"/>
      <c r="O567" s="163"/>
      <c r="P567" s="163"/>
      <c r="Q567" s="572"/>
      <c r="R567" s="572"/>
      <c r="S567" s="572"/>
      <c r="T567" s="572"/>
      <c r="U567" s="572"/>
      <c r="V567" s="572"/>
      <c r="W567" s="572"/>
      <c r="X567" s="572"/>
      <c r="Y567" s="572"/>
      <c r="Z567" s="572"/>
    </row>
    <row r="568" spans="1:26" ht="19.5">
      <c r="A568" s="602"/>
      <c r="B568" s="612"/>
      <c r="C568" s="619" t="s">
        <v>239</v>
      </c>
      <c r="D568" s="620"/>
      <c r="E568" s="620"/>
      <c r="F568" s="620"/>
      <c r="G568" s="756"/>
      <c r="H568" s="761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5">
        <f t="shared" ref="J568:J569" si="248">J570+J572+J574</f>
        <v>0</v>
      </c>
      <c r="K568" s="411">
        <f t="shared" ref="K568:K569" ca="1" si="249">IF(I568&gt;0,J568*100/I568,0)</f>
        <v>0</v>
      </c>
      <c r="L568" s="163"/>
      <c r="M568" s="163"/>
      <c r="N568" s="163"/>
      <c r="O568" s="163"/>
      <c r="P568" s="163"/>
      <c r="Q568" s="572"/>
      <c r="R568" s="572"/>
      <c r="S568" s="572"/>
      <c r="T568" s="572"/>
      <c r="U568" s="572"/>
      <c r="V568" s="572"/>
      <c r="W568" s="572"/>
      <c r="X568" s="572"/>
      <c r="Y568" s="572"/>
      <c r="Z568" s="572"/>
    </row>
    <row r="569" spans="1:26" ht="19.5">
      <c r="A569" s="602"/>
      <c r="B569" s="612"/>
      <c r="C569" s="612"/>
      <c r="D569" s="612"/>
      <c r="E569" s="620"/>
      <c r="F569" s="620"/>
      <c r="G569" s="756"/>
      <c r="H569" s="761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5">
        <f t="shared" si="248"/>
        <v>0</v>
      </c>
      <c r="K569" s="411">
        <f t="shared" ca="1" si="249"/>
        <v>0</v>
      </c>
      <c r="L569" s="163"/>
      <c r="M569" s="163"/>
      <c r="N569" s="163"/>
      <c r="O569" s="163"/>
      <c r="P569" s="163"/>
      <c r="Q569" s="572"/>
      <c r="R569" s="572"/>
      <c r="S569" s="572"/>
      <c r="T569" s="572"/>
      <c r="U569" s="572"/>
      <c r="V569" s="572"/>
      <c r="W569" s="572"/>
      <c r="X569" s="572"/>
      <c r="Y569" s="572"/>
      <c r="Z569" s="572"/>
    </row>
    <row r="570" spans="1:26" ht="18.75">
      <c r="A570" s="602"/>
      <c r="B570" s="612"/>
      <c r="C570" s="612"/>
      <c r="D570" s="620" t="s">
        <v>240</v>
      </c>
      <c r="E570" s="612"/>
      <c r="F570" s="620"/>
      <c r="G570" s="756"/>
      <c r="H570" s="758" t="s">
        <v>46</v>
      </c>
      <c r="I570" s="184"/>
      <c r="J570" s="215">
        <v>0</v>
      </c>
      <c r="K570" s="163"/>
      <c r="L570" s="163"/>
      <c r="M570" s="163"/>
      <c r="N570" s="163"/>
      <c r="O570" s="163"/>
      <c r="P570" s="163"/>
      <c r="Q570" s="572"/>
      <c r="R570" s="572"/>
      <c r="S570" s="572"/>
      <c r="T570" s="572"/>
      <c r="U570" s="572"/>
      <c r="V570" s="572"/>
      <c r="W570" s="572"/>
      <c r="X570" s="572"/>
      <c r="Y570" s="572"/>
      <c r="Z570" s="572"/>
    </row>
    <row r="571" spans="1:26" ht="18.75">
      <c r="A571" s="602"/>
      <c r="B571" s="612"/>
      <c r="C571" s="612"/>
      <c r="D571" s="612"/>
      <c r="E571" s="620"/>
      <c r="F571" s="620"/>
      <c r="G571" s="756"/>
      <c r="H571" s="758" t="s">
        <v>34</v>
      </c>
      <c r="I571" s="184"/>
      <c r="J571" s="215">
        <v>0</v>
      </c>
      <c r="K571" s="163"/>
      <c r="L571" s="163"/>
      <c r="M571" s="163"/>
      <c r="N571" s="163"/>
      <c r="O571" s="163"/>
      <c r="P571" s="163"/>
      <c r="Q571" s="572"/>
      <c r="R571" s="572"/>
      <c r="S571" s="572"/>
      <c r="T571" s="572"/>
      <c r="U571" s="572"/>
      <c r="V571" s="572"/>
      <c r="W571" s="572"/>
      <c r="X571" s="572"/>
      <c r="Y571" s="572"/>
      <c r="Z571" s="572"/>
    </row>
    <row r="572" spans="1:26" ht="18.75">
      <c r="A572" s="602"/>
      <c r="B572" s="612"/>
      <c r="C572" s="612"/>
      <c r="D572" s="620" t="s">
        <v>241</v>
      </c>
      <c r="E572" s="620"/>
      <c r="F572" s="620"/>
      <c r="G572" s="756"/>
      <c r="H572" s="758" t="s">
        <v>46</v>
      </c>
      <c r="I572" s="184"/>
      <c r="J572" s="215">
        <v>0</v>
      </c>
      <c r="K572" s="163"/>
      <c r="L572" s="163"/>
      <c r="M572" s="163"/>
      <c r="N572" s="163"/>
      <c r="O572" s="163"/>
      <c r="P572" s="163"/>
      <c r="Q572" s="572"/>
      <c r="R572" s="572"/>
      <c r="S572" s="572"/>
      <c r="T572" s="572"/>
      <c r="U572" s="572"/>
      <c r="V572" s="572"/>
      <c r="W572" s="572"/>
      <c r="X572" s="572"/>
      <c r="Y572" s="572"/>
      <c r="Z572" s="572"/>
    </row>
    <row r="573" spans="1:26" ht="18.75">
      <c r="A573" s="602"/>
      <c r="B573" s="612"/>
      <c r="C573" s="612"/>
      <c r="D573" s="620"/>
      <c r="E573" s="620"/>
      <c r="F573" s="620"/>
      <c r="G573" s="756"/>
      <c r="H573" s="758" t="s">
        <v>34</v>
      </c>
      <c r="I573" s="184"/>
      <c r="J573" s="215">
        <v>0</v>
      </c>
      <c r="K573" s="163"/>
      <c r="L573" s="163"/>
      <c r="M573" s="163"/>
      <c r="N573" s="163"/>
      <c r="O573" s="163"/>
      <c r="P573" s="163"/>
      <c r="Q573" s="572"/>
      <c r="R573" s="572"/>
      <c r="S573" s="572"/>
      <c r="T573" s="572"/>
      <c r="U573" s="572"/>
      <c r="V573" s="572"/>
      <c r="W573" s="572"/>
      <c r="X573" s="572"/>
      <c r="Y573" s="572"/>
      <c r="Z573" s="572"/>
    </row>
    <row r="574" spans="1:26" ht="18.75">
      <c r="A574" s="602"/>
      <c r="B574" s="612"/>
      <c r="C574" s="612"/>
      <c r="D574" s="620" t="s">
        <v>242</v>
      </c>
      <c r="E574" s="620"/>
      <c r="F574" s="620"/>
      <c r="G574" s="756"/>
      <c r="H574" s="758" t="s">
        <v>46</v>
      </c>
      <c r="I574" s="184"/>
      <c r="J574" s="215">
        <v>0</v>
      </c>
      <c r="K574" s="163"/>
      <c r="L574" s="163"/>
      <c r="M574" s="163"/>
      <c r="N574" s="163"/>
      <c r="O574" s="163"/>
      <c r="P574" s="163"/>
      <c r="Q574" s="572"/>
      <c r="R574" s="572"/>
      <c r="S574" s="572"/>
      <c r="T574" s="572"/>
      <c r="U574" s="572"/>
      <c r="V574" s="572"/>
      <c r="W574" s="572"/>
      <c r="X574" s="572"/>
      <c r="Y574" s="572"/>
      <c r="Z574" s="572"/>
    </row>
    <row r="575" spans="1:26" ht="18.75">
      <c r="A575" s="602"/>
      <c r="B575" s="612"/>
      <c r="C575" s="612"/>
      <c r="D575" s="612"/>
      <c r="E575" s="620"/>
      <c r="F575" s="620"/>
      <c r="G575" s="756"/>
      <c r="H575" s="758" t="s">
        <v>34</v>
      </c>
      <c r="I575" s="184"/>
      <c r="J575" s="215">
        <v>0</v>
      </c>
      <c r="K575" s="163"/>
      <c r="L575" s="163"/>
      <c r="M575" s="163"/>
      <c r="N575" s="163"/>
      <c r="O575" s="163"/>
      <c r="P575" s="163"/>
      <c r="Q575" s="572"/>
      <c r="R575" s="572"/>
      <c r="S575" s="572"/>
      <c r="T575" s="572"/>
      <c r="U575" s="572"/>
      <c r="V575" s="572"/>
      <c r="W575" s="572"/>
      <c r="X575" s="572"/>
      <c r="Y575" s="572"/>
      <c r="Z575" s="572"/>
    </row>
    <row r="576" spans="1:26" ht="19.5">
      <c r="A576" s="602"/>
      <c r="B576" s="612"/>
      <c r="C576" s="619" t="s">
        <v>243</v>
      </c>
      <c r="D576" s="612"/>
      <c r="E576" s="612"/>
      <c r="F576" s="620"/>
      <c r="G576" s="756"/>
      <c r="H576" s="761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5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2"/>
      <c r="R576" s="572"/>
      <c r="S576" s="572"/>
      <c r="T576" s="572"/>
      <c r="U576" s="572"/>
      <c r="V576" s="572"/>
      <c r="W576" s="572"/>
      <c r="X576" s="572"/>
      <c r="Y576" s="572"/>
      <c r="Z576" s="572"/>
    </row>
    <row r="577" spans="1:26" ht="19.5">
      <c r="A577" s="602"/>
      <c r="B577" s="612"/>
      <c r="C577" s="612"/>
      <c r="D577" s="612"/>
      <c r="E577" s="620"/>
      <c r="F577" s="620"/>
      <c r="G577" s="756"/>
      <c r="H577" s="761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5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2"/>
      <c r="R577" s="572"/>
      <c r="S577" s="572"/>
      <c r="T577" s="572"/>
      <c r="U577" s="572"/>
      <c r="V577" s="572"/>
      <c r="W577" s="572"/>
      <c r="X577" s="572"/>
      <c r="Y577" s="572"/>
      <c r="Z577" s="572"/>
    </row>
    <row r="578" spans="1:26" ht="18.75">
      <c r="A578" s="602"/>
      <c r="B578" s="612"/>
      <c r="C578" s="612"/>
      <c r="D578" s="620" t="s">
        <v>244</v>
      </c>
      <c r="E578" s="620"/>
      <c r="F578" s="620"/>
      <c r="G578" s="756"/>
      <c r="H578" s="758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2"/>
      <c r="R578" s="572"/>
      <c r="S578" s="572"/>
      <c r="T578" s="572"/>
      <c r="U578" s="572"/>
      <c r="V578" s="572"/>
      <c r="W578" s="572"/>
      <c r="X578" s="572"/>
      <c r="Y578" s="572"/>
      <c r="Z578" s="572"/>
    </row>
    <row r="579" spans="1:26" ht="18.75">
      <c r="A579" s="602"/>
      <c r="B579" s="612"/>
      <c r="C579" s="612"/>
      <c r="D579" s="612"/>
      <c r="E579" s="620"/>
      <c r="F579" s="620"/>
      <c r="G579" s="756"/>
      <c r="H579" s="758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2"/>
      <c r="R579" s="572"/>
      <c r="S579" s="572"/>
      <c r="T579" s="572"/>
      <c r="U579" s="572"/>
      <c r="V579" s="572"/>
      <c r="W579" s="572"/>
      <c r="X579" s="572"/>
      <c r="Y579" s="572"/>
      <c r="Z579" s="572"/>
    </row>
    <row r="580" spans="1:26" ht="18.75">
      <c r="A580" s="602"/>
      <c r="B580" s="612"/>
      <c r="C580" s="612"/>
      <c r="D580" s="620" t="s">
        <v>245</v>
      </c>
      <c r="E580" s="620"/>
      <c r="F580" s="620"/>
      <c r="G580" s="756"/>
      <c r="H580" s="758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2"/>
      <c r="R580" s="572"/>
      <c r="S580" s="572"/>
      <c r="T580" s="572"/>
      <c r="U580" s="572"/>
      <c r="V580" s="572"/>
      <c r="W580" s="572"/>
      <c r="X580" s="572"/>
      <c r="Y580" s="572"/>
      <c r="Z580" s="572"/>
    </row>
    <row r="581" spans="1:26" ht="18.75">
      <c r="A581" s="602"/>
      <c r="B581" s="612"/>
      <c r="C581" s="612"/>
      <c r="D581" s="612"/>
      <c r="E581" s="620"/>
      <c r="F581" s="620"/>
      <c r="G581" s="756"/>
      <c r="H581" s="758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2"/>
      <c r="R581" s="572"/>
      <c r="S581" s="572"/>
      <c r="T581" s="572"/>
      <c r="U581" s="572"/>
      <c r="V581" s="572"/>
      <c r="W581" s="572"/>
      <c r="X581" s="572"/>
      <c r="Y581" s="572"/>
      <c r="Z581" s="572"/>
    </row>
    <row r="582" spans="1:26" ht="19.5">
      <c r="A582" s="602"/>
      <c r="B582" s="612"/>
      <c r="C582" s="612"/>
      <c r="D582" s="620" t="s">
        <v>246</v>
      </c>
      <c r="E582" s="620"/>
      <c r="F582" s="620"/>
      <c r="G582" s="756"/>
      <c r="H582" s="758" t="s">
        <v>46</v>
      </c>
      <c r="I582" s="184"/>
      <c r="J582" s="675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2"/>
      <c r="R582" s="572"/>
      <c r="S582" s="572"/>
      <c r="T582" s="572"/>
      <c r="U582" s="572"/>
      <c r="V582" s="572"/>
      <c r="W582" s="572"/>
      <c r="X582" s="572"/>
      <c r="Y582" s="572"/>
      <c r="Z582" s="572"/>
    </row>
    <row r="583" spans="1:26" ht="19.5">
      <c r="A583" s="602"/>
      <c r="B583" s="612"/>
      <c r="C583" s="612"/>
      <c r="D583" s="612"/>
      <c r="E583" s="620"/>
      <c r="F583" s="620"/>
      <c r="G583" s="756"/>
      <c r="H583" s="758" t="s">
        <v>34</v>
      </c>
      <c r="I583" s="184"/>
      <c r="J583" s="675">
        <f t="shared" si="252"/>
        <v>0</v>
      </c>
      <c r="K583" s="411"/>
      <c r="L583" s="163"/>
      <c r="M583" s="163"/>
      <c r="N583" s="163"/>
      <c r="O583" s="163"/>
      <c r="P583" s="163"/>
      <c r="Q583" s="572"/>
      <c r="R583" s="572"/>
      <c r="S583" s="572"/>
      <c r="T583" s="572"/>
      <c r="U583" s="572"/>
      <c r="V583" s="572"/>
      <c r="W583" s="572"/>
      <c r="X583" s="572"/>
      <c r="Y583" s="572"/>
      <c r="Z583" s="572"/>
    </row>
    <row r="584" spans="1:26" ht="18.75">
      <c r="A584" s="602"/>
      <c r="B584" s="612"/>
      <c r="C584" s="612"/>
      <c r="D584" s="612"/>
      <c r="E584" s="620" t="s">
        <v>247</v>
      </c>
      <c r="F584" s="620"/>
      <c r="G584" s="756"/>
      <c r="H584" s="758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2"/>
      <c r="R584" s="572"/>
      <c r="S584" s="572"/>
      <c r="T584" s="572"/>
      <c r="U584" s="572"/>
      <c r="V584" s="572"/>
      <c r="W584" s="572"/>
      <c r="X584" s="572"/>
      <c r="Y584" s="572"/>
      <c r="Z584" s="572"/>
    </row>
    <row r="585" spans="1:26" ht="18.75">
      <c r="A585" s="602"/>
      <c r="B585" s="612"/>
      <c r="C585" s="612"/>
      <c r="D585" s="612"/>
      <c r="E585" s="620"/>
      <c r="F585" s="620"/>
      <c r="G585" s="756"/>
      <c r="H585" s="758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2"/>
      <c r="R585" s="572"/>
      <c r="S585" s="572"/>
      <c r="T585" s="572"/>
      <c r="U585" s="572"/>
      <c r="V585" s="572"/>
      <c r="W585" s="572"/>
      <c r="X585" s="572"/>
      <c r="Y585" s="572"/>
      <c r="Z585" s="572"/>
    </row>
    <row r="586" spans="1:26" ht="18.75">
      <c r="A586" s="602"/>
      <c r="B586" s="612"/>
      <c r="C586" s="612"/>
      <c r="D586" s="612"/>
      <c r="E586" s="620" t="s">
        <v>248</v>
      </c>
      <c r="F586" s="620"/>
      <c r="G586" s="756"/>
      <c r="H586" s="758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2"/>
      <c r="R586" s="572"/>
      <c r="S586" s="572"/>
      <c r="T586" s="572"/>
      <c r="U586" s="572"/>
      <c r="V586" s="572"/>
      <c r="W586" s="572"/>
      <c r="X586" s="572"/>
      <c r="Y586" s="572"/>
      <c r="Z586" s="572"/>
    </row>
    <row r="587" spans="1:26" ht="18.75">
      <c r="A587" s="602"/>
      <c r="B587" s="612"/>
      <c r="C587" s="612"/>
      <c r="D587" s="612"/>
      <c r="E587" s="612"/>
      <c r="F587" s="620"/>
      <c r="G587" s="756"/>
      <c r="H587" s="758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2"/>
      <c r="R587" s="572"/>
      <c r="S587" s="572"/>
      <c r="T587" s="572"/>
      <c r="U587" s="572"/>
      <c r="V587" s="572"/>
      <c r="W587" s="572"/>
      <c r="X587" s="572"/>
      <c r="Y587" s="572"/>
      <c r="Z587" s="572"/>
    </row>
    <row r="588" spans="1:26" ht="18.75">
      <c r="A588" s="602"/>
      <c r="B588" s="612"/>
      <c r="C588" s="612"/>
      <c r="D588" s="620" t="s">
        <v>249</v>
      </c>
      <c r="E588" s="620"/>
      <c r="F588" s="620"/>
      <c r="G588" s="756"/>
      <c r="H588" s="758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2"/>
      <c r="R588" s="572"/>
      <c r="S588" s="572"/>
      <c r="T588" s="572"/>
      <c r="U588" s="572"/>
      <c r="V588" s="572"/>
      <c r="W588" s="572"/>
      <c r="X588" s="572"/>
      <c r="Y588" s="572"/>
      <c r="Z588" s="572"/>
    </row>
    <row r="589" spans="1:26" ht="18.75">
      <c r="A589" s="602"/>
      <c r="B589" s="612"/>
      <c r="C589" s="612"/>
      <c r="D589" s="612"/>
      <c r="E589" s="612"/>
      <c r="F589" s="620"/>
      <c r="G589" s="756"/>
      <c r="H589" s="758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2"/>
      <c r="R589" s="572"/>
      <c r="S589" s="572"/>
      <c r="T589" s="572"/>
      <c r="U589" s="572"/>
      <c r="V589" s="572"/>
      <c r="W589" s="572"/>
      <c r="X589" s="572"/>
      <c r="Y589" s="572"/>
      <c r="Z589" s="572"/>
    </row>
    <row r="590" spans="1:26" ht="18.75">
      <c r="A590" s="602"/>
      <c r="B590" s="612"/>
      <c r="C590" s="612"/>
      <c r="D590" s="620" t="s">
        <v>250</v>
      </c>
      <c r="E590" s="620"/>
      <c r="F590" s="620"/>
      <c r="G590" s="756"/>
      <c r="H590" s="758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2"/>
      <c r="R590" s="572"/>
      <c r="S590" s="572"/>
      <c r="T590" s="572"/>
      <c r="U590" s="572"/>
      <c r="V590" s="572"/>
      <c r="W590" s="572"/>
      <c r="X590" s="572"/>
      <c r="Y590" s="572"/>
      <c r="Z590" s="572"/>
    </row>
    <row r="591" spans="1:26" ht="18.75">
      <c r="A591" s="690"/>
      <c r="B591" s="691"/>
      <c r="C591" s="691"/>
      <c r="D591" s="691"/>
      <c r="E591" s="572"/>
      <c r="F591" s="572"/>
      <c r="G591" s="692"/>
      <c r="H591" s="693" t="s">
        <v>34</v>
      </c>
      <c r="I591" s="694"/>
      <c r="J591" s="695">
        <v>0</v>
      </c>
      <c r="K591" s="696"/>
      <c r="L591" s="696"/>
      <c r="M591" s="696"/>
      <c r="N591" s="696"/>
      <c r="O591" s="696"/>
      <c r="P591" s="696"/>
      <c r="Q591" s="572"/>
      <c r="R591" s="572"/>
      <c r="S591" s="572"/>
      <c r="T591" s="572"/>
      <c r="U591" s="572"/>
      <c r="V591" s="572"/>
      <c r="W591" s="572"/>
      <c r="X591" s="572"/>
      <c r="Y591" s="572"/>
      <c r="Z591" s="572"/>
    </row>
    <row r="592" spans="1:26" ht="19.5">
      <c r="A592" s="686"/>
      <c r="B592" s="687" t="s">
        <v>251</v>
      </c>
      <c r="C592" s="688"/>
      <c r="D592" s="688"/>
      <c r="E592" s="667"/>
      <c r="F592" s="667"/>
      <c r="G592" s="668"/>
      <c r="H592" s="689" t="s">
        <v>46</v>
      </c>
      <c r="I592" s="697">
        <f t="shared" ref="I592:J592" ca="1" si="253">I593</f>
        <v>598.48</v>
      </c>
      <c r="J592" s="702">
        <f t="shared" si="253"/>
        <v>0</v>
      </c>
      <c r="K592" s="671">
        <f t="shared" ref="K592:K594" ca="1" si="254">IF(I592&gt;0,J592*100/I592,0)</f>
        <v>0</v>
      </c>
      <c r="L592" s="672"/>
      <c r="M592" s="672"/>
      <c r="N592" s="672"/>
      <c r="O592" s="672"/>
      <c r="P592" s="672"/>
      <c r="Q592" s="572"/>
      <c r="R592" s="572"/>
      <c r="S592" s="572"/>
      <c r="T592" s="572"/>
      <c r="U592" s="572"/>
      <c r="V592" s="572"/>
      <c r="W592" s="572"/>
      <c r="X592" s="572"/>
      <c r="Y592" s="572"/>
      <c r="Z592" s="572"/>
    </row>
    <row r="593" spans="1:26" ht="19.5">
      <c r="A593" s="602"/>
      <c r="B593" s="612"/>
      <c r="C593" s="619" t="s">
        <v>252</v>
      </c>
      <c r="D593" s="612"/>
      <c r="E593" s="612"/>
      <c r="F593" s="620"/>
      <c r="G593" s="756"/>
      <c r="H593" s="761" t="s">
        <v>46</v>
      </c>
      <c r="I593" s="698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2"/>
      <c r="R593" s="572"/>
      <c r="S593" s="572"/>
      <c r="T593" s="572"/>
      <c r="U593" s="572"/>
      <c r="V593" s="572"/>
      <c r="W593" s="572"/>
      <c r="X593" s="572"/>
      <c r="Y593" s="572"/>
      <c r="Z593" s="572"/>
    </row>
    <row r="594" spans="1:26" ht="19.5">
      <c r="A594" s="602"/>
      <c r="B594" s="612"/>
      <c r="C594" s="612"/>
      <c r="D594" s="612"/>
      <c r="E594" s="620"/>
      <c r="F594" s="620"/>
      <c r="G594" s="756"/>
      <c r="H594" s="761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2"/>
      <c r="R594" s="572"/>
      <c r="S594" s="572"/>
      <c r="T594" s="572"/>
      <c r="U594" s="572"/>
      <c r="V594" s="572"/>
      <c r="W594" s="572"/>
      <c r="X594" s="572"/>
      <c r="Y594" s="572"/>
      <c r="Z594" s="572"/>
    </row>
    <row r="595" spans="1:26" ht="18.75">
      <c r="A595" s="602"/>
      <c r="B595" s="612"/>
      <c r="C595" s="612" t="s">
        <v>253</v>
      </c>
      <c r="D595" s="612"/>
      <c r="E595" s="612"/>
      <c r="F595" s="620"/>
      <c r="G595" s="756"/>
      <c r="H595" s="758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2"/>
      <c r="R595" s="572"/>
      <c r="S595" s="572"/>
      <c r="T595" s="572"/>
      <c r="U595" s="572"/>
      <c r="V595" s="572"/>
      <c r="W595" s="572"/>
      <c r="X595" s="572"/>
      <c r="Y595" s="572"/>
      <c r="Z595" s="572"/>
    </row>
    <row r="596" spans="1:26" ht="18.75">
      <c r="A596" s="602"/>
      <c r="B596" s="612"/>
      <c r="C596" s="612"/>
      <c r="D596" s="612"/>
      <c r="E596" s="620"/>
      <c r="F596" s="620"/>
      <c r="G596" s="756"/>
      <c r="H596" s="758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2"/>
      <c r="R596" s="572"/>
      <c r="S596" s="572"/>
      <c r="T596" s="572"/>
      <c r="U596" s="572"/>
      <c r="V596" s="572"/>
      <c r="W596" s="572"/>
      <c r="X596" s="572"/>
      <c r="Y596" s="572"/>
      <c r="Z596" s="572"/>
    </row>
    <row r="597" spans="1:26" ht="18.75">
      <c r="A597" s="602"/>
      <c r="B597" s="612"/>
      <c r="C597" s="612"/>
      <c r="D597" s="740" t="s">
        <v>254</v>
      </c>
      <c r="E597" s="620"/>
      <c r="F597" s="620"/>
      <c r="G597" s="756"/>
      <c r="H597" s="758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2"/>
      <c r="R597" s="572"/>
      <c r="S597" s="572"/>
      <c r="T597" s="572"/>
      <c r="U597" s="572"/>
      <c r="V597" s="572"/>
      <c r="W597" s="572"/>
      <c r="X597" s="572"/>
      <c r="Y597" s="572"/>
      <c r="Z597" s="572"/>
    </row>
    <row r="598" spans="1:26" ht="18.75">
      <c r="A598" s="602"/>
      <c r="B598" s="612"/>
      <c r="C598" s="612"/>
      <c r="D598" s="612"/>
      <c r="E598" s="620"/>
      <c r="F598" s="620"/>
      <c r="G598" s="756"/>
      <c r="H598" s="758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2"/>
      <c r="R598" s="572"/>
      <c r="S598" s="572"/>
      <c r="T598" s="572"/>
      <c r="U598" s="572"/>
      <c r="V598" s="572"/>
      <c r="W598" s="572"/>
      <c r="X598" s="572"/>
      <c r="Y598" s="572"/>
      <c r="Z598" s="572"/>
    </row>
    <row r="599" spans="1:26" ht="18.75">
      <c r="A599" s="602"/>
      <c r="B599" s="612"/>
      <c r="C599" s="612"/>
      <c r="D599" s="740" t="s">
        <v>255</v>
      </c>
      <c r="E599" s="620"/>
      <c r="F599" s="620"/>
      <c r="G599" s="756"/>
      <c r="H599" s="758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2"/>
      <c r="R599" s="572"/>
      <c r="S599" s="572"/>
      <c r="T599" s="572"/>
      <c r="U599" s="572"/>
      <c r="V599" s="572"/>
      <c r="W599" s="572"/>
      <c r="X599" s="572"/>
      <c r="Y599" s="572"/>
      <c r="Z599" s="572"/>
    </row>
    <row r="600" spans="1:26" ht="18.75">
      <c r="A600" s="602"/>
      <c r="B600" s="612"/>
      <c r="C600" s="612"/>
      <c r="D600" s="612"/>
      <c r="E600" s="620"/>
      <c r="F600" s="620"/>
      <c r="G600" s="756"/>
      <c r="H600" s="758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2"/>
      <c r="R600" s="572"/>
      <c r="S600" s="572"/>
      <c r="T600" s="572"/>
      <c r="U600" s="572"/>
      <c r="V600" s="572"/>
      <c r="W600" s="572"/>
      <c r="X600" s="572"/>
      <c r="Y600" s="572"/>
      <c r="Z600" s="572"/>
    </row>
    <row r="601" spans="1:26" ht="18.75">
      <c r="A601" s="602"/>
      <c r="B601" s="612"/>
      <c r="C601" s="612"/>
      <c r="D601" s="740" t="s">
        <v>256</v>
      </c>
      <c r="E601" s="620"/>
      <c r="F601" s="620"/>
      <c r="G601" s="756"/>
      <c r="H601" s="758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2"/>
      <c r="R601" s="572"/>
      <c r="S601" s="572"/>
      <c r="T601" s="572"/>
      <c r="U601" s="572"/>
      <c r="V601" s="572"/>
      <c r="W601" s="572"/>
      <c r="X601" s="572"/>
      <c r="Y601" s="572"/>
      <c r="Z601" s="572"/>
    </row>
    <row r="602" spans="1:26" ht="18.75">
      <c r="A602" s="602"/>
      <c r="B602" s="612"/>
      <c r="C602" s="612"/>
      <c r="D602" s="612"/>
      <c r="E602" s="620"/>
      <c r="F602" s="620"/>
      <c r="G602" s="756"/>
      <c r="H602" s="758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2"/>
      <c r="R602" s="572"/>
      <c r="S602" s="572"/>
      <c r="T602" s="572"/>
      <c r="U602" s="572"/>
      <c r="V602" s="572"/>
      <c r="W602" s="572"/>
      <c r="X602" s="572"/>
      <c r="Y602" s="572"/>
      <c r="Z602" s="572"/>
    </row>
    <row r="603" spans="1:26" ht="18.75">
      <c r="A603" s="602"/>
      <c r="B603" s="612"/>
      <c r="C603" s="699" t="s">
        <v>257</v>
      </c>
      <c r="D603" s="612"/>
      <c r="E603" s="612"/>
      <c r="F603" s="620"/>
      <c r="G603" s="756"/>
      <c r="H603" s="758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2"/>
      <c r="R603" s="572"/>
      <c r="S603" s="572"/>
      <c r="T603" s="572"/>
      <c r="U603" s="572"/>
      <c r="V603" s="572"/>
      <c r="W603" s="572"/>
      <c r="X603" s="572"/>
      <c r="Y603" s="572"/>
      <c r="Z603" s="572"/>
    </row>
    <row r="604" spans="1:26" ht="18.75">
      <c r="A604" s="602"/>
      <c r="B604" s="612"/>
      <c r="C604" s="612"/>
      <c r="D604" s="612"/>
      <c r="E604" s="620"/>
      <c r="F604" s="620"/>
      <c r="G604" s="756"/>
      <c r="H604" s="758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2"/>
      <c r="R604" s="572"/>
      <c r="S604" s="572"/>
      <c r="T604" s="572"/>
      <c r="U604" s="572"/>
      <c r="V604" s="572"/>
      <c r="W604" s="572"/>
      <c r="X604" s="572"/>
      <c r="Y604" s="572"/>
      <c r="Z604" s="572"/>
    </row>
    <row r="605" spans="1:26" ht="18.75">
      <c r="A605" s="602"/>
      <c r="B605" s="612"/>
      <c r="C605" s="612"/>
      <c r="D605" s="699" t="s">
        <v>258</v>
      </c>
      <c r="E605" s="620"/>
      <c r="F605" s="620"/>
      <c r="G605" s="756"/>
      <c r="H605" s="758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2"/>
      <c r="R605" s="572"/>
      <c r="S605" s="572"/>
      <c r="T605" s="572"/>
      <c r="U605" s="572"/>
      <c r="V605" s="572"/>
      <c r="W605" s="572"/>
      <c r="X605" s="572"/>
      <c r="Y605" s="572"/>
      <c r="Z605" s="572"/>
    </row>
    <row r="606" spans="1:26" ht="18.75">
      <c r="A606" s="602"/>
      <c r="B606" s="612"/>
      <c r="C606" s="612"/>
      <c r="D606" s="612"/>
      <c r="E606" s="612"/>
      <c r="F606" s="620"/>
      <c r="G606" s="756"/>
      <c r="H606" s="758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2"/>
      <c r="R606" s="572"/>
      <c r="S606" s="572"/>
      <c r="T606" s="572"/>
      <c r="U606" s="572"/>
      <c r="V606" s="572"/>
      <c r="W606" s="572"/>
      <c r="X606" s="572"/>
      <c r="Y606" s="572"/>
      <c r="Z606" s="572"/>
    </row>
    <row r="607" spans="1:26" ht="18.75">
      <c r="A607" s="602"/>
      <c r="B607" s="612"/>
      <c r="C607" s="612"/>
      <c r="D607" s="699" t="s">
        <v>259</v>
      </c>
      <c r="E607" s="612"/>
      <c r="F607" s="620"/>
      <c r="G607" s="756"/>
      <c r="H607" s="758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2"/>
      <c r="R607" s="572"/>
      <c r="S607" s="572"/>
      <c r="T607" s="572"/>
      <c r="U607" s="572"/>
      <c r="V607" s="572"/>
      <c r="W607" s="572"/>
      <c r="X607" s="572"/>
      <c r="Y607" s="572"/>
      <c r="Z607" s="572"/>
    </row>
    <row r="608" spans="1:26" ht="18.75">
      <c r="A608" s="602"/>
      <c r="B608" s="612"/>
      <c r="C608" s="612"/>
      <c r="D608" s="612"/>
      <c r="E608" s="620"/>
      <c r="F608" s="620"/>
      <c r="G608" s="756"/>
      <c r="H608" s="758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2"/>
      <c r="R608" s="572"/>
      <c r="S608" s="572"/>
      <c r="T608" s="572"/>
      <c r="U608" s="572"/>
      <c r="V608" s="572"/>
      <c r="W608" s="572"/>
      <c r="X608" s="572"/>
      <c r="Y608" s="572"/>
      <c r="Z608" s="572"/>
    </row>
    <row r="609" spans="1:26" ht="18.75">
      <c r="A609" s="602"/>
      <c r="B609" s="612"/>
      <c r="C609" s="612" t="s">
        <v>260</v>
      </c>
      <c r="D609" s="612"/>
      <c r="E609" s="612"/>
      <c r="F609" s="620"/>
      <c r="G609" s="756"/>
      <c r="H609" s="758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2"/>
      <c r="R609" s="572"/>
      <c r="S609" s="572"/>
      <c r="T609" s="572"/>
      <c r="U609" s="572"/>
      <c r="V609" s="572"/>
      <c r="W609" s="572"/>
      <c r="X609" s="572"/>
      <c r="Y609" s="572"/>
      <c r="Z609" s="572"/>
    </row>
    <row r="610" spans="1:26" ht="18.75">
      <c r="A610" s="602"/>
      <c r="B610" s="612"/>
      <c r="C610" s="612"/>
      <c r="D610" s="612"/>
      <c r="E610" s="620"/>
      <c r="F610" s="620"/>
      <c r="G610" s="756"/>
      <c r="H610" s="758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2"/>
      <c r="R610" s="572"/>
      <c r="S610" s="572"/>
      <c r="T610" s="572"/>
      <c r="U610" s="572"/>
      <c r="V610" s="572"/>
      <c r="W610" s="572"/>
      <c r="X610" s="572"/>
      <c r="Y610" s="572"/>
      <c r="Z610" s="572"/>
    </row>
    <row r="611" spans="1:26" ht="19.5" hidden="1">
      <c r="A611" s="686"/>
      <c r="B611" s="700" t="s">
        <v>261</v>
      </c>
      <c r="C611" s="688"/>
      <c r="D611" s="688"/>
      <c r="E611" s="667"/>
      <c r="F611" s="667"/>
      <c r="G611" s="668"/>
      <c r="H611" s="701" t="s">
        <v>46</v>
      </c>
      <c r="I611" s="702">
        <v>0</v>
      </c>
      <c r="J611" s="702">
        <f>J614+J616</f>
        <v>0</v>
      </c>
      <c r="K611" s="671">
        <f t="shared" ref="K611:K613" si="258">IF(I611&gt;0,J611*100/I611,0)</f>
        <v>0</v>
      </c>
      <c r="L611" s="672"/>
      <c r="M611" s="672"/>
      <c r="N611" s="672"/>
      <c r="O611" s="672"/>
      <c r="P611" s="672"/>
      <c r="Q611" s="572"/>
      <c r="R611" s="572"/>
      <c r="S611" s="572"/>
      <c r="T611" s="572"/>
      <c r="U611" s="572"/>
      <c r="V611" s="572"/>
      <c r="W611" s="572"/>
      <c r="X611" s="572"/>
      <c r="Y611" s="572"/>
      <c r="Z611" s="572"/>
    </row>
    <row r="612" spans="1:26" ht="19.5" hidden="1">
      <c r="A612" s="703"/>
      <c r="B612" s="713"/>
      <c r="C612" s="705" t="s">
        <v>262</v>
      </c>
      <c r="D612" s="713"/>
      <c r="E612" s="713"/>
      <c r="F612" s="706"/>
      <c r="G612" s="707"/>
      <c r="H612" s="708" t="s">
        <v>46</v>
      </c>
      <c r="I612" s="710">
        <v>0</v>
      </c>
      <c r="J612" s="710">
        <f t="shared" ref="J612:J613" si="259">J614+J616</f>
        <v>0</v>
      </c>
      <c r="K612" s="711">
        <f t="shared" si="258"/>
        <v>0</v>
      </c>
      <c r="L612" s="712"/>
      <c r="M612" s="712"/>
      <c r="N612" s="712"/>
      <c r="O612" s="712"/>
      <c r="P612" s="712"/>
      <c r="Q612" s="598"/>
      <c r="R612" s="598"/>
      <c r="S612" s="598"/>
      <c r="T612" s="598"/>
      <c r="U612" s="598"/>
      <c r="V612" s="598"/>
      <c r="W612" s="598"/>
      <c r="X612" s="598"/>
      <c r="Y612" s="598"/>
      <c r="Z612" s="598"/>
    </row>
    <row r="613" spans="1:26" ht="19.5" hidden="1">
      <c r="A613" s="703"/>
      <c r="B613" s="713"/>
      <c r="C613" s="713" t="s">
        <v>263</v>
      </c>
      <c r="D613" s="713"/>
      <c r="E613" s="713"/>
      <c r="F613" s="706"/>
      <c r="G613" s="707"/>
      <c r="H613" s="708" t="s">
        <v>34</v>
      </c>
      <c r="I613" s="710">
        <v>0</v>
      </c>
      <c r="J613" s="710">
        <f t="shared" si="259"/>
        <v>0</v>
      </c>
      <c r="K613" s="711">
        <f t="shared" si="258"/>
        <v>0</v>
      </c>
      <c r="L613" s="712"/>
      <c r="M613" s="712"/>
      <c r="N613" s="712"/>
      <c r="O613" s="712"/>
      <c r="P613" s="712"/>
      <c r="Q613" s="598"/>
      <c r="R613" s="598"/>
      <c r="S613" s="598"/>
      <c r="T613" s="598"/>
      <c r="U613" s="598"/>
      <c r="V613" s="598"/>
      <c r="W613" s="598"/>
      <c r="X613" s="598"/>
      <c r="Y613" s="598"/>
      <c r="Z613" s="598"/>
    </row>
    <row r="614" spans="1:26" ht="18.75" hidden="1">
      <c r="A614" s="608"/>
      <c r="B614" s="610"/>
      <c r="C614" s="610"/>
      <c r="D614" s="714" t="s">
        <v>264</v>
      </c>
      <c r="E614" s="610"/>
      <c r="F614" s="714"/>
      <c r="G614" s="366"/>
      <c r="H614" s="370" t="s">
        <v>46</v>
      </c>
      <c r="I614" s="611"/>
      <c r="J614" s="611">
        <v>0</v>
      </c>
      <c r="K614" s="167"/>
      <c r="L614" s="167"/>
      <c r="M614" s="167"/>
      <c r="N614" s="167"/>
      <c r="O614" s="167"/>
      <c r="P614" s="167"/>
      <c r="Q614" s="598"/>
      <c r="R614" s="598"/>
      <c r="S614" s="598"/>
      <c r="T614" s="598"/>
      <c r="U614" s="598"/>
      <c r="V614" s="598"/>
      <c r="W614" s="598"/>
      <c r="X614" s="598"/>
      <c r="Y614" s="598"/>
      <c r="Z614" s="598"/>
    </row>
    <row r="615" spans="1:26" ht="18.75" hidden="1">
      <c r="A615" s="608"/>
      <c r="B615" s="610"/>
      <c r="C615" s="610"/>
      <c r="D615" s="610"/>
      <c r="E615" s="610"/>
      <c r="F615" s="714"/>
      <c r="G615" s="366"/>
      <c r="H615" s="370" t="s">
        <v>34</v>
      </c>
      <c r="I615" s="611"/>
      <c r="J615" s="611">
        <v>0</v>
      </c>
      <c r="K615" s="167"/>
      <c r="L615" s="167"/>
      <c r="M615" s="167"/>
      <c r="N615" s="167"/>
      <c r="O615" s="167"/>
      <c r="P615" s="167"/>
      <c r="Q615" s="598"/>
      <c r="R615" s="598"/>
      <c r="S615" s="598"/>
      <c r="T615" s="598"/>
      <c r="U615" s="598"/>
      <c r="V615" s="598"/>
      <c r="W615" s="598"/>
      <c r="X615" s="598"/>
      <c r="Y615" s="598"/>
      <c r="Z615" s="598"/>
    </row>
    <row r="616" spans="1:26" ht="18.75" hidden="1">
      <c r="A616" s="608"/>
      <c r="B616" s="610"/>
      <c r="C616" s="610"/>
      <c r="D616" s="715" t="s">
        <v>264</v>
      </c>
      <c r="E616" s="714"/>
      <c r="F616" s="714"/>
      <c r="G616" s="366"/>
      <c r="H616" s="370" t="s">
        <v>46</v>
      </c>
      <c r="I616" s="611"/>
      <c r="J616" s="611">
        <v>0</v>
      </c>
      <c r="K616" s="167"/>
      <c r="L616" s="167"/>
      <c r="M616" s="167"/>
      <c r="N616" s="167"/>
      <c r="O616" s="167"/>
      <c r="P616" s="167"/>
      <c r="Q616" s="598"/>
      <c r="R616" s="598"/>
      <c r="S616" s="598"/>
      <c r="T616" s="598"/>
      <c r="U616" s="598"/>
      <c r="V616" s="598"/>
      <c r="W616" s="598"/>
      <c r="X616" s="598"/>
      <c r="Y616" s="598"/>
      <c r="Z616" s="598"/>
    </row>
    <row r="617" spans="1:26" ht="18.75" hidden="1">
      <c r="A617" s="608"/>
      <c r="B617" s="610"/>
      <c r="C617" s="610"/>
      <c r="D617" s="610"/>
      <c r="E617" s="714"/>
      <c r="F617" s="714"/>
      <c r="G617" s="366"/>
      <c r="H617" s="370" t="s">
        <v>34</v>
      </c>
      <c r="I617" s="611"/>
      <c r="J617" s="611">
        <v>0</v>
      </c>
      <c r="K617" s="167"/>
      <c r="L617" s="167"/>
      <c r="M617" s="167"/>
      <c r="N617" s="167"/>
      <c r="O617" s="167"/>
      <c r="P617" s="167"/>
      <c r="Q617" s="598"/>
      <c r="R617" s="598"/>
      <c r="S617" s="598"/>
      <c r="T617" s="598"/>
      <c r="U617" s="598"/>
      <c r="V617" s="598"/>
      <c r="W617" s="598"/>
      <c r="X617" s="598"/>
      <c r="Y617" s="598"/>
      <c r="Z617" s="598"/>
    </row>
    <row r="618" spans="1:26" ht="18.75" hidden="1">
      <c r="A618" s="608"/>
      <c r="B618" s="610"/>
      <c r="C618" s="610"/>
      <c r="D618" s="715" t="s">
        <v>265</v>
      </c>
      <c r="E618" s="714"/>
      <c r="F618" s="714"/>
      <c r="G618" s="366"/>
      <c r="H618" s="370" t="s">
        <v>46</v>
      </c>
      <c r="I618" s="611"/>
      <c r="J618" s="611">
        <v>0</v>
      </c>
      <c r="K618" s="167"/>
      <c r="L618" s="167"/>
      <c r="M618" s="167"/>
      <c r="N618" s="167"/>
      <c r="O618" s="167"/>
      <c r="P618" s="167"/>
      <c r="Q618" s="598"/>
      <c r="R618" s="598"/>
      <c r="S618" s="598"/>
      <c r="T618" s="598"/>
      <c r="U618" s="598"/>
      <c r="V618" s="598"/>
      <c r="W618" s="598"/>
      <c r="X618" s="598"/>
      <c r="Y618" s="598"/>
      <c r="Z618" s="598"/>
    </row>
    <row r="619" spans="1:26" ht="18.75" hidden="1">
      <c r="A619" s="608"/>
      <c r="B619" s="610"/>
      <c r="C619" s="610"/>
      <c r="D619" s="610"/>
      <c r="E619" s="714"/>
      <c r="F619" s="714"/>
      <c r="G619" s="366"/>
      <c r="H619" s="370" t="s">
        <v>34</v>
      </c>
      <c r="I619" s="611"/>
      <c r="J619" s="611">
        <v>0</v>
      </c>
      <c r="K619" s="167"/>
      <c r="L619" s="167"/>
      <c r="M619" s="167"/>
      <c r="N619" s="167"/>
      <c r="O619" s="167"/>
      <c r="P619" s="167"/>
      <c r="Q619" s="598"/>
      <c r="R619" s="598"/>
      <c r="S619" s="598"/>
      <c r="T619" s="598"/>
      <c r="U619" s="598"/>
      <c r="V619" s="598"/>
      <c r="W619" s="598"/>
      <c r="X619" s="598"/>
      <c r="Y619" s="598"/>
      <c r="Z619" s="598"/>
    </row>
    <row r="620" spans="1:26" ht="19.5" hidden="1">
      <c r="A620" s="716"/>
      <c r="B620" s="725"/>
      <c r="C620" s="718" t="s">
        <v>266</v>
      </c>
      <c r="D620" s="725"/>
      <c r="E620" s="725"/>
      <c r="F620" s="719"/>
      <c r="G620" s="720"/>
      <c r="H620" s="721" t="s">
        <v>46</v>
      </c>
      <c r="I620" s="722">
        <f ca="1">IFERROR(__xludf.DUMMYFUNCTION("IMPORTRANGE(""https://docs.google.com/spreadsheets/d/1QqKyyYR6Q21VydFLVH3TRQUabQu_ym0Zz7PgGX0-kHA/edit?usp=sharing"",""แผน!HL39"")"),0)</f>
        <v>0</v>
      </c>
      <c r="J620" s="722">
        <f t="shared" ref="J620:J621" si="260">J622+J624+J626</f>
        <v>0</v>
      </c>
      <c r="K620" s="723">
        <f t="shared" ref="K620:K621" ca="1" si="261">IF(I620&gt;0,J620*100/I620,0)</f>
        <v>0</v>
      </c>
      <c r="L620" s="724"/>
      <c r="M620" s="724"/>
      <c r="N620" s="724"/>
      <c r="O620" s="724"/>
      <c r="P620" s="724"/>
      <c r="Q620" s="572"/>
      <c r="R620" s="572"/>
      <c r="S620" s="572"/>
      <c r="T620" s="572"/>
      <c r="U620" s="572"/>
      <c r="V620" s="572"/>
      <c r="W620" s="572"/>
      <c r="X620" s="572"/>
      <c r="Y620" s="572"/>
      <c r="Z620" s="572"/>
    </row>
    <row r="621" spans="1:26" ht="19.5" hidden="1">
      <c r="A621" s="716"/>
      <c r="B621" s="725"/>
      <c r="C621" s="725" t="s">
        <v>267</v>
      </c>
      <c r="D621" s="725"/>
      <c r="E621" s="725"/>
      <c r="F621" s="719"/>
      <c r="G621" s="720"/>
      <c r="H621" s="721" t="s">
        <v>34</v>
      </c>
      <c r="I621" s="722">
        <f ca="1">IFERROR(__xludf.DUMMYFUNCTION("IMPORTRANGE(""https://docs.google.com/spreadsheets/d/1QqKyyYR6Q21VydFLVH3TRQUabQu_ym0Zz7PgGX0-kHA/edit?usp=sharing"",""แผน!HK39"")"),0)</f>
        <v>0</v>
      </c>
      <c r="J621" s="722">
        <f t="shared" si="260"/>
        <v>0</v>
      </c>
      <c r="K621" s="723">
        <f t="shared" ca="1" si="261"/>
        <v>0</v>
      </c>
      <c r="L621" s="724"/>
      <c r="M621" s="724"/>
      <c r="N621" s="724"/>
      <c r="O621" s="724"/>
      <c r="P621" s="724"/>
      <c r="Q621" s="572"/>
      <c r="R621" s="572"/>
      <c r="S621" s="572"/>
      <c r="T621" s="572"/>
      <c r="U621" s="572"/>
      <c r="V621" s="572"/>
      <c r="W621" s="572"/>
      <c r="X621" s="572"/>
      <c r="Y621" s="572"/>
      <c r="Z621" s="572"/>
    </row>
    <row r="622" spans="1:26" ht="18.75" hidden="1">
      <c r="A622" s="602"/>
      <c r="B622" s="612"/>
      <c r="C622" s="612"/>
      <c r="D622" s="740" t="s">
        <v>268</v>
      </c>
      <c r="E622" s="620"/>
      <c r="F622" s="620"/>
      <c r="G622" s="756"/>
      <c r="H622" s="758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2"/>
      <c r="R622" s="572"/>
      <c r="S622" s="572"/>
      <c r="T622" s="572"/>
      <c r="U622" s="572"/>
      <c r="V622" s="572"/>
      <c r="W622" s="572"/>
      <c r="X622" s="572"/>
      <c r="Y622" s="572"/>
      <c r="Z622" s="572"/>
    </row>
    <row r="623" spans="1:26" ht="18.75" hidden="1">
      <c r="A623" s="602"/>
      <c r="B623" s="612"/>
      <c r="C623" s="612"/>
      <c r="D623" s="612"/>
      <c r="E623" s="620"/>
      <c r="F623" s="620"/>
      <c r="G623" s="756"/>
      <c r="H623" s="758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2"/>
      <c r="R623" s="572"/>
      <c r="S623" s="572"/>
      <c r="T623" s="572"/>
      <c r="U623" s="572"/>
      <c r="V623" s="572"/>
      <c r="W623" s="572"/>
      <c r="X623" s="572"/>
      <c r="Y623" s="572"/>
      <c r="Z623" s="572"/>
    </row>
    <row r="624" spans="1:26" ht="18.75" hidden="1">
      <c r="A624" s="602"/>
      <c r="B624" s="612"/>
      <c r="C624" s="612"/>
      <c r="D624" s="740" t="s">
        <v>264</v>
      </c>
      <c r="E624" s="620"/>
      <c r="F624" s="620"/>
      <c r="G624" s="756"/>
      <c r="H624" s="758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2"/>
      <c r="R624" s="572"/>
      <c r="S624" s="572"/>
      <c r="T624" s="572"/>
      <c r="U624" s="572"/>
      <c r="V624" s="572"/>
      <c r="W624" s="572"/>
      <c r="X624" s="572"/>
      <c r="Y624" s="572"/>
      <c r="Z624" s="572"/>
    </row>
    <row r="625" spans="1:26" ht="18.75" hidden="1">
      <c r="A625" s="602"/>
      <c r="B625" s="612"/>
      <c r="C625" s="612"/>
      <c r="D625" s="612"/>
      <c r="E625" s="620"/>
      <c r="F625" s="620"/>
      <c r="G625" s="756"/>
      <c r="H625" s="758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2"/>
      <c r="R625" s="572"/>
      <c r="S625" s="572"/>
      <c r="T625" s="572"/>
      <c r="U625" s="572"/>
      <c r="V625" s="572"/>
      <c r="W625" s="572"/>
      <c r="X625" s="572"/>
      <c r="Y625" s="572"/>
      <c r="Z625" s="572"/>
    </row>
    <row r="626" spans="1:26" ht="18.75" hidden="1">
      <c r="A626" s="602"/>
      <c r="B626" s="612"/>
      <c r="C626" s="612"/>
      <c r="D626" s="740" t="s">
        <v>269</v>
      </c>
      <c r="E626" s="620"/>
      <c r="F626" s="620"/>
      <c r="G626" s="756"/>
      <c r="H626" s="758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2"/>
      <c r="R626" s="572"/>
      <c r="S626" s="572"/>
      <c r="T626" s="572"/>
      <c r="U626" s="572"/>
      <c r="V626" s="572"/>
      <c r="W626" s="572"/>
      <c r="X626" s="572"/>
      <c r="Y626" s="572"/>
      <c r="Z626" s="572"/>
    </row>
    <row r="627" spans="1:26" ht="18.75" hidden="1">
      <c r="A627" s="726"/>
      <c r="B627" s="727"/>
      <c r="C627" s="727"/>
      <c r="D627" s="727"/>
      <c r="E627" s="728"/>
      <c r="F627" s="728"/>
      <c r="G627" s="729"/>
      <c r="H627" s="422" t="s">
        <v>34</v>
      </c>
      <c r="I627" s="500"/>
      <c r="J627" s="424">
        <v>0</v>
      </c>
      <c r="K627" s="385"/>
      <c r="L627" s="385"/>
      <c r="M627" s="385"/>
      <c r="N627" s="385"/>
      <c r="O627" s="385"/>
      <c r="P627" s="385"/>
      <c r="Q627" s="572"/>
      <c r="R627" s="572"/>
      <c r="S627" s="572"/>
      <c r="T627" s="572"/>
      <c r="U627" s="572"/>
      <c r="V627" s="572"/>
      <c r="W627" s="572"/>
      <c r="X627" s="572"/>
      <c r="Y627" s="572"/>
      <c r="Z627" s="572"/>
    </row>
    <row r="628" spans="1:26" ht="19.5">
      <c r="A628" s="730">
        <v>7</v>
      </c>
      <c r="B628" s="731" t="s">
        <v>270</v>
      </c>
      <c r="C628" s="732"/>
      <c r="D628" s="732"/>
      <c r="E628" s="732"/>
      <c r="F628" s="732"/>
      <c r="G628" s="733"/>
      <c r="H628" s="734" t="s">
        <v>35</v>
      </c>
      <c r="I628" s="735">
        <f t="shared" ref="I628:J628" ca="1" si="262">I651</f>
        <v>13</v>
      </c>
      <c r="J628" s="735">
        <f t="shared" ca="1" si="262"/>
        <v>0</v>
      </c>
      <c r="K628" s="736">
        <f ca="1">IF(I628&gt;0,J628*100/I628,0)</f>
        <v>0</v>
      </c>
      <c r="L628" s="737"/>
      <c r="M628" s="737"/>
      <c r="N628" s="737"/>
      <c r="O628" s="737"/>
      <c r="P628" s="737"/>
      <c r="Q628" s="572"/>
      <c r="R628" s="572"/>
      <c r="S628" s="572"/>
      <c r="T628" s="572"/>
      <c r="U628" s="572"/>
      <c r="V628" s="572"/>
      <c r="W628" s="572"/>
      <c r="X628" s="572"/>
      <c r="Y628" s="572"/>
      <c r="Z628" s="572"/>
    </row>
    <row r="629" spans="1:26" ht="19.5">
      <c r="A629" s="591"/>
      <c r="B629" s="757"/>
      <c r="C629" s="757" t="s">
        <v>16</v>
      </c>
      <c r="D629" s="887" t="s">
        <v>17</v>
      </c>
      <c r="E629" s="888"/>
      <c r="F629" s="888"/>
      <c r="G629" s="189"/>
      <c r="H629" s="592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2"/>
      <c r="R629" s="572"/>
      <c r="S629" s="572"/>
      <c r="T629" s="572"/>
      <c r="U629" s="572"/>
      <c r="V629" s="572"/>
      <c r="W629" s="572"/>
      <c r="X629" s="572"/>
      <c r="Y629" s="572"/>
      <c r="Z629" s="572"/>
    </row>
    <row r="630" spans="1:26" ht="18.75" hidden="1">
      <c r="A630" s="593"/>
      <c r="B630" s="753"/>
      <c r="C630" s="753"/>
      <c r="D630" s="714"/>
      <c r="E630" s="753" t="s">
        <v>184</v>
      </c>
      <c r="F630" s="753"/>
      <c r="G630" s="597"/>
      <c r="H630" s="165" t="s">
        <v>12</v>
      </c>
      <c r="I630" s="611"/>
      <c r="J630" s="611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598"/>
      <c r="R630" s="598"/>
      <c r="S630" s="598"/>
      <c r="T630" s="598"/>
      <c r="U630" s="598"/>
      <c r="V630" s="598"/>
      <c r="W630" s="598"/>
      <c r="X630" s="598"/>
      <c r="Y630" s="598"/>
      <c r="Z630" s="598"/>
    </row>
    <row r="631" spans="1:26" ht="18.75" hidden="1">
      <c r="A631" s="593"/>
      <c r="B631" s="601"/>
      <c r="C631" s="753"/>
      <c r="D631" s="714"/>
      <c r="E631" s="753" t="s">
        <v>185</v>
      </c>
      <c r="F631" s="753"/>
      <c r="G631" s="597"/>
      <c r="H631" s="165" t="s">
        <v>12</v>
      </c>
      <c r="I631" s="611"/>
      <c r="J631" s="611"/>
      <c r="K631" s="93"/>
      <c r="L631" s="93">
        <f t="shared" ca="1" si="266"/>
        <v>177295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598"/>
      <c r="R631" s="598"/>
      <c r="S631" s="598"/>
      <c r="T631" s="598"/>
      <c r="U631" s="598"/>
      <c r="V631" s="598"/>
      <c r="W631" s="598"/>
      <c r="X631" s="598"/>
      <c r="Y631" s="598"/>
      <c r="Z631" s="598"/>
    </row>
    <row r="632" spans="1:26" ht="18.75">
      <c r="A632" s="591"/>
      <c r="B632" s="569"/>
      <c r="C632" s="757"/>
      <c r="D632" s="600" t="s">
        <v>20</v>
      </c>
      <c r="E632" s="757"/>
      <c r="F632" s="757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2"/>
      <c r="R632" s="572"/>
      <c r="S632" s="572"/>
      <c r="T632" s="572"/>
      <c r="U632" s="572"/>
      <c r="V632" s="572"/>
      <c r="W632" s="572"/>
      <c r="X632" s="572"/>
      <c r="Y632" s="572"/>
      <c r="Z632" s="572"/>
    </row>
    <row r="633" spans="1:26" ht="18.75" hidden="1">
      <c r="A633" s="593"/>
      <c r="B633" s="601"/>
      <c r="C633" s="753"/>
      <c r="D633" s="714"/>
      <c r="E633" s="753" t="s">
        <v>184</v>
      </c>
      <c r="F633" s="753"/>
      <c r="G633" s="597"/>
      <c r="H633" s="165" t="s">
        <v>12</v>
      </c>
      <c r="I633" s="611"/>
      <c r="J633" s="611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598"/>
      <c r="R633" s="598"/>
      <c r="S633" s="598"/>
      <c r="T633" s="598"/>
      <c r="U633" s="598"/>
      <c r="V633" s="598"/>
      <c r="W633" s="598"/>
      <c r="X633" s="598"/>
      <c r="Y633" s="598"/>
      <c r="Z633" s="598"/>
    </row>
    <row r="634" spans="1:26" ht="18.75" hidden="1">
      <c r="A634" s="593"/>
      <c r="B634" s="601"/>
      <c r="C634" s="753"/>
      <c r="D634" s="714"/>
      <c r="E634" s="753" t="s">
        <v>185</v>
      </c>
      <c r="F634" s="753"/>
      <c r="G634" s="597"/>
      <c r="H634" s="165" t="s">
        <v>12</v>
      </c>
      <c r="I634" s="611"/>
      <c r="J634" s="611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598"/>
      <c r="R634" s="598"/>
      <c r="S634" s="598"/>
      <c r="T634" s="598"/>
      <c r="U634" s="598"/>
      <c r="V634" s="598"/>
      <c r="W634" s="598"/>
      <c r="X634" s="598"/>
      <c r="Y634" s="598"/>
      <c r="Z634" s="598"/>
    </row>
    <row r="635" spans="1:26" ht="18.75">
      <c r="A635" s="568"/>
      <c r="B635" s="569"/>
      <c r="C635" s="757"/>
      <c r="D635" s="757"/>
      <c r="E635" s="757"/>
      <c r="F635" s="757" t="s">
        <v>186</v>
      </c>
      <c r="G635" s="189"/>
      <c r="H635" s="161" t="s">
        <v>12</v>
      </c>
      <c r="I635" s="270"/>
      <c r="J635" s="270"/>
      <c r="K635" s="497"/>
      <c r="L635" s="497"/>
      <c r="M635" s="497"/>
      <c r="N635" s="834">
        <v>0</v>
      </c>
      <c r="O635" s="497"/>
      <c r="P635" s="497"/>
      <c r="Q635" s="572"/>
      <c r="R635" s="572"/>
      <c r="S635" s="572"/>
      <c r="T635" s="572"/>
      <c r="U635" s="572"/>
      <c r="V635" s="572"/>
      <c r="W635" s="572"/>
      <c r="X635" s="572"/>
      <c r="Y635" s="572"/>
      <c r="Z635" s="572"/>
    </row>
    <row r="636" spans="1:26" ht="18.75">
      <c r="A636" s="568"/>
      <c r="B636" s="569"/>
      <c r="C636" s="757"/>
      <c r="D636" s="757"/>
      <c r="E636" s="757"/>
      <c r="F636" s="757" t="s">
        <v>187</v>
      </c>
      <c r="G636" s="189"/>
      <c r="H636" s="161" t="s">
        <v>12</v>
      </c>
      <c r="I636" s="270"/>
      <c r="J636" s="270"/>
      <c r="K636" s="497"/>
      <c r="L636" s="497"/>
      <c r="M636" s="497"/>
      <c r="N636" s="834">
        <v>0</v>
      </c>
      <c r="O636" s="497"/>
      <c r="P636" s="497"/>
      <c r="Q636" s="572"/>
      <c r="R636" s="572"/>
      <c r="S636" s="572"/>
      <c r="T636" s="572"/>
      <c r="U636" s="572"/>
      <c r="V636" s="572"/>
      <c r="W636" s="572"/>
      <c r="X636" s="572"/>
      <c r="Y636" s="572"/>
      <c r="Z636" s="572"/>
    </row>
    <row r="637" spans="1:26" ht="18.75">
      <c r="A637" s="568"/>
      <c r="B637" s="569"/>
      <c r="C637" s="757"/>
      <c r="D637" s="757"/>
      <c r="E637" s="757"/>
      <c r="F637" s="757" t="s">
        <v>188</v>
      </c>
      <c r="G637" s="189"/>
      <c r="H637" s="161" t="s">
        <v>12</v>
      </c>
      <c r="I637" s="270"/>
      <c r="J637" s="270"/>
      <c r="K637" s="497"/>
      <c r="L637" s="497"/>
      <c r="M637" s="497"/>
      <c r="N637" s="834">
        <v>0</v>
      </c>
      <c r="O637" s="497"/>
      <c r="P637" s="497"/>
      <c r="Q637" s="572"/>
      <c r="R637" s="572"/>
      <c r="S637" s="572"/>
      <c r="T637" s="572"/>
      <c r="U637" s="572"/>
      <c r="V637" s="572"/>
      <c r="W637" s="572"/>
      <c r="X637" s="572"/>
      <c r="Y637" s="572"/>
      <c r="Z637" s="572"/>
    </row>
    <row r="638" spans="1:26" ht="18.75">
      <c r="A638" s="568"/>
      <c r="B638" s="569"/>
      <c r="C638" s="757"/>
      <c r="D638" s="757"/>
      <c r="E638" s="757"/>
      <c r="F638" s="757" t="s">
        <v>189</v>
      </c>
      <c r="G638" s="189"/>
      <c r="H638" s="161" t="s">
        <v>12</v>
      </c>
      <c r="I638" s="270"/>
      <c r="J638" s="270"/>
      <c r="K638" s="497"/>
      <c r="L638" s="497"/>
      <c r="M638" s="497"/>
      <c r="N638" s="834">
        <v>0</v>
      </c>
      <c r="O638" s="497"/>
      <c r="P638" s="497"/>
      <c r="Q638" s="572"/>
      <c r="R638" s="572"/>
      <c r="S638" s="572"/>
      <c r="T638" s="572"/>
      <c r="U638" s="572"/>
      <c r="V638" s="572"/>
      <c r="W638" s="572"/>
      <c r="X638" s="572"/>
      <c r="Y638" s="572"/>
      <c r="Z638" s="572"/>
    </row>
    <row r="639" spans="1:26" ht="18.75">
      <c r="A639" s="591"/>
      <c r="B639" s="569"/>
      <c r="C639" s="757"/>
      <c r="D639" s="600" t="s">
        <v>21</v>
      </c>
      <c r="E639" s="757"/>
      <c r="F639" s="757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2"/>
      <c r="R639" s="572"/>
      <c r="S639" s="572"/>
      <c r="T639" s="572"/>
      <c r="U639" s="572"/>
      <c r="V639" s="572"/>
      <c r="W639" s="572"/>
      <c r="X639" s="572"/>
      <c r="Y639" s="572"/>
      <c r="Z639" s="572"/>
    </row>
    <row r="640" spans="1:26" ht="18.75" hidden="1">
      <c r="A640" s="593"/>
      <c r="B640" s="601"/>
      <c r="C640" s="753"/>
      <c r="D640" s="753"/>
      <c r="E640" s="753" t="s">
        <v>18</v>
      </c>
      <c r="F640" s="753"/>
      <c r="G640" s="597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598"/>
      <c r="R640" s="598"/>
      <c r="S640" s="598"/>
      <c r="T640" s="598"/>
      <c r="U640" s="598"/>
      <c r="V640" s="598"/>
      <c r="W640" s="598"/>
      <c r="X640" s="598"/>
      <c r="Y640" s="598"/>
      <c r="Z640" s="598"/>
    </row>
    <row r="641" spans="1:26" ht="18.75" hidden="1">
      <c r="A641" s="593"/>
      <c r="B641" s="601"/>
      <c r="C641" s="753"/>
      <c r="D641" s="753"/>
      <c r="E641" s="753" t="s">
        <v>19</v>
      </c>
      <c r="F641" s="753"/>
      <c r="G641" s="597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598"/>
      <c r="R641" s="598"/>
      <c r="S641" s="598"/>
      <c r="T641" s="598"/>
      <c r="U641" s="598"/>
      <c r="V641" s="598"/>
      <c r="W641" s="598"/>
      <c r="X641" s="598"/>
      <c r="Y641" s="598"/>
      <c r="Z641" s="598"/>
    </row>
    <row r="642" spans="1:26" ht="19.5">
      <c r="A642" s="602"/>
      <c r="B642" s="612"/>
      <c r="C642" s="757" t="s">
        <v>16</v>
      </c>
      <c r="D642" s="863" t="s">
        <v>38</v>
      </c>
      <c r="E642" s="755"/>
      <c r="F642" s="755"/>
      <c r="G642" s="607"/>
      <c r="H642" s="756"/>
      <c r="I642" s="184"/>
      <c r="J642" s="184"/>
      <c r="K642" s="163"/>
      <c r="L642" s="163"/>
      <c r="M642" s="163"/>
      <c r="N642" s="163"/>
      <c r="O642" s="163"/>
      <c r="P642" s="163"/>
      <c r="Q642" s="572"/>
      <c r="R642" s="572"/>
      <c r="S642" s="572"/>
      <c r="T642" s="572"/>
      <c r="U642" s="572"/>
      <c r="V642" s="572"/>
      <c r="W642" s="572"/>
      <c r="X642" s="572"/>
      <c r="Y642" s="572"/>
      <c r="Z642" s="572"/>
    </row>
    <row r="643" spans="1:26" ht="18.75">
      <c r="A643" s="738"/>
      <c r="B643" s="569"/>
      <c r="C643" s="757"/>
      <c r="D643" s="620"/>
      <c r="E643" s="740" t="s">
        <v>271</v>
      </c>
      <c r="F643" s="620"/>
      <c r="G643" s="756"/>
      <c r="H643" s="758" t="s">
        <v>272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2"/>
      <c r="R643" s="572"/>
      <c r="S643" s="572"/>
      <c r="T643" s="572"/>
      <c r="U643" s="572"/>
      <c r="V643" s="572"/>
      <c r="W643" s="572"/>
      <c r="X643" s="572"/>
      <c r="Y643" s="572"/>
      <c r="Z643" s="572"/>
    </row>
    <row r="644" spans="1:26" ht="18.75">
      <c r="A644" s="738"/>
      <c r="B644" s="569"/>
      <c r="C644" s="757"/>
      <c r="D644" s="620"/>
      <c r="E644" s="740" t="s">
        <v>273</v>
      </c>
      <c r="F644" s="620"/>
      <c r="G644" s="756"/>
      <c r="H644" s="758" t="s">
        <v>274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2"/>
      <c r="R644" s="572"/>
      <c r="S644" s="572"/>
      <c r="T644" s="572"/>
      <c r="U644" s="572"/>
      <c r="V644" s="572"/>
      <c r="W644" s="572"/>
      <c r="X644" s="572"/>
      <c r="Y644" s="572"/>
      <c r="Z644" s="572"/>
    </row>
    <row r="645" spans="1:26" ht="18.75">
      <c r="A645" s="738"/>
      <c r="B645" s="569"/>
      <c r="C645" s="757"/>
      <c r="D645" s="620"/>
      <c r="E645" s="740" t="s">
        <v>275</v>
      </c>
      <c r="F645" s="620"/>
      <c r="G645" s="756"/>
      <c r="H645" s="758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IFERROR(__xludf.DUMMYFUNCTION("IMPORTRANGE(""https://docs.google.com/spreadsheets/d/1XWAQStnk-4SwqDmLtmXYiTMKHgktTP8We1SCoS47DrQ/edit?usp=sharing"",""จัดที่ดิน!AS39"")"),7)</f>
        <v>7</v>
      </c>
      <c r="K645" s="163">
        <f t="shared" si="271"/>
        <v>0</v>
      </c>
      <c r="L645" s="163"/>
      <c r="M645" s="163"/>
      <c r="N645" s="497"/>
      <c r="O645" s="163"/>
      <c r="P645" s="163"/>
      <c r="Q645" s="572"/>
      <c r="R645" s="572"/>
      <c r="S645" s="572"/>
      <c r="T645" s="572"/>
      <c r="U645" s="572"/>
      <c r="V645" s="572"/>
      <c r="W645" s="572"/>
      <c r="X645" s="572"/>
      <c r="Y645" s="572"/>
      <c r="Z645" s="572"/>
    </row>
    <row r="646" spans="1:26" ht="18.75">
      <c r="A646" s="738"/>
      <c r="B646" s="569"/>
      <c r="C646" s="757"/>
      <c r="D646" s="620"/>
      <c r="E646" s="620"/>
      <c r="F646" s="620"/>
      <c r="G646" s="756"/>
      <c r="H646" s="758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497">
        <f t="shared" si="271"/>
        <v>0</v>
      </c>
      <c r="L646" s="163"/>
      <c r="M646" s="163"/>
      <c r="N646" s="497"/>
      <c r="O646" s="163"/>
      <c r="P646" s="163"/>
      <c r="Q646" s="572"/>
      <c r="R646" s="572"/>
      <c r="S646" s="572"/>
      <c r="T646" s="572"/>
      <c r="U646" s="572"/>
      <c r="V646" s="572"/>
      <c r="W646" s="572"/>
      <c r="X646" s="572"/>
      <c r="Y646" s="572"/>
      <c r="Z646" s="572"/>
    </row>
    <row r="647" spans="1:26" ht="18.75">
      <c r="A647" s="738"/>
      <c r="B647" s="569"/>
      <c r="C647" s="757"/>
      <c r="D647" s="620"/>
      <c r="E647" s="740" t="s">
        <v>162</v>
      </c>
      <c r="F647" s="620"/>
      <c r="G647" s="756"/>
      <c r="H647" s="758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IFERROR(__xludf.DUMMYFUNCTION("IMPORTRANGE(""https://docs.google.com/spreadsheets/d/1XWAQStnk-4SwqDmLtmXYiTMKHgktTP8We1SCoS47DrQ/edit?usp=sharing"",""จัดที่ดิน!AU39"")"),7)</f>
        <v>7</v>
      </c>
      <c r="K647" s="163">
        <f t="shared" ca="1" si="271"/>
        <v>53.846153846153847</v>
      </c>
      <c r="L647" s="163"/>
      <c r="M647" s="163"/>
      <c r="N647" s="163"/>
      <c r="O647" s="163"/>
      <c r="P647" s="163"/>
      <c r="Q647" s="572"/>
      <c r="R647" s="572"/>
      <c r="S647" s="572"/>
      <c r="T647" s="572"/>
      <c r="U647" s="572"/>
      <c r="V647" s="572"/>
      <c r="W647" s="572"/>
      <c r="X647" s="572"/>
      <c r="Y647" s="572"/>
      <c r="Z647" s="572"/>
    </row>
    <row r="648" spans="1:26" ht="18.75">
      <c r="A648" s="738"/>
      <c r="B648" s="569"/>
      <c r="C648" s="757"/>
      <c r="D648" s="620"/>
      <c r="E648" s="620"/>
      <c r="F648" s="620"/>
      <c r="G648" s="756"/>
      <c r="H648" s="758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497">
        <f t="shared" si="271"/>
        <v>0</v>
      </c>
      <c r="L648" s="163"/>
      <c r="M648" s="163"/>
      <c r="N648" s="163"/>
      <c r="O648" s="163"/>
      <c r="P648" s="163"/>
      <c r="Q648" s="572"/>
      <c r="R648" s="572"/>
      <c r="S648" s="572"/>
      <c r="T648" s="572"/>
      <c r="U648" s="572"/>
      <c r="V648" s="572"/>
      <c r="W648" s="572"/>
      <c r="X648" s="572"/>
      <c r="Y648" s="572"/>
      <c r="Z648" s="572"/>
    </row>
    <row r="649" spans="1:26" ht="18.75">
      <c r="A649" s="738"/>
      <c r="B649" s="569"/>
      <c r="C649" s="757"/>
      <c r="D649" s="620"/>
      <c r="E649" s="740" t="s">
        <v>276</v>
      </c>
      <c r="F649" s="620"/>
      <c r="G649" s="756"/>
      <c r="H649" s="758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2"/>
      <c r="R649" s="572"/>
      <c r="S649" s="572"/>
      <c r="T649" s="572"/>
      <c r="U649" s="572"/>
      <c r="V649" s="572"/>
      <c r="W649" s="572"/>
      <c r="X649" s="572"/>
      <c r="Y649" s="572"/>
      <c r="Z649" s="572"/>
    </row>
    <row r="650" spans="1:26" ht="18.75">
      <c r="A650" s="738"/>
      <c r="B650" s="569"/>
      <c r="C650" s="757"/>
      <c r="D650" s="620"/>
      <c r="E650" s="620"/>
      <c r="F650" s="620"/>
      <c r="G650" s="756"/>
      <c r="H650" s="758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2"/>
      <c r="R650" s="572"/>
      <c r="S650" s="572"/>
      <c r="T650" s="572"/>
      <c r="U650" s="572"/>
      <c r="V650" s="572"/>
      <c r="W650" s="572"/>
      <c r="X650" s="572"/>
      <c r="Y650" s="572"/>
      <c r="Z650" s="572"/>
    </row>
    <row r="651" spans="1:26" ht="18.75">
      <c r="A651" s="738"/>
      <c r="B651" s="569"/>
      <c r="C651" s="757"/>
      <c r="D651" s="620"/>
      <c r="E651" s="740" t="s">
        <v>277</v>
      </c>
      <c r="F651" s="620"/>
      <c r="G651" s="756"/>
      <c r="H651" s="758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2"/>
      <c r="R651" s="572"/>
      <c r="S651" s="572"/>
      <c r="T651" s="572"/>
      <c r="U651" s="572"/>
      <c r="V651" s="572"/>
      <c r="W651" s="572"/>
      <c r="X651" s="572"/>
      <c r="Y651" s="572"/>
      <c r="Z651" s="572"/>
    </row>
    <row r="652" spans="1:26" ht="18.75">
      <c r="A652" s="741"/>
      <c r="B652" s="742"/>
      <c r="C652" s="743"/>
      <c r="D652" s="728"/>
      <c r="E652" s="728"/>
      <c r="F652" s="728"/>
      <c r="G652" s="729"/>
      <c r="H652" s="499" t="s">
        <v>46</v>
      </c>
      <c r="I652" s="500">
        <v>0</v>
      </c>
      <c r="J652" s="500">
        <f ca="1">IFERROR(__xludf.DUMMYFUNCTION("IMPORTRANGE(""https://docs.google.com/spreadsheets/d/1XWAQStnk-4SwqDmLtmXYiTMKHgktTP8We1SCoS47DrQ/edit?usp=sharing"",""จัดที่ดิน!AZ39"")"),0)</f>
        <v>0</v>
      </c>
      <c r="K652" s="501">
        <f t="shared" si="271"/>
        <v>0</v>
      </c>
      <c r="L652" s="385"/>
      <c r="M652" s="385"/>
      <c r="N652" s="385"/>
      <c r="O652" s="385"/>
      <c r="P652" s="385"/>
      <c r="Q652" s="572"/>
      <c r="R652" s="572"/>
      <c r="S652" s="572"/>
      <c r="T652" s="572"/>
      <c r="U652" s="572"/>
      <c r="V652" s="572"/>
      <c r="W652" s="572"/>
      <c r="X652" s="572"/>
      <c r="Y652" s="572"/>
      <c r="Z652" s="572"/>
    </row>
    <row r="653" spans="1:26" ht="19.5" hidden="1">
      <c r="A653" s="744">
        <v>8</v>
      </c>
      <c r="B653" s="731" t="s">
        <v>278</v>
      </c>
      <c r="C653" s="732"/>
      <c r="D653" s="732"/>
      <c r="E653" s="732"/>
      <c r="F653" s="732"/>
      <c r="G653" s="733"/>
      <c r="H653" s="733"/>
      <c r="I653" s="745"/>
      <c r="J653" s="745"/>
      <c r="K653" s="737"/>
      <c r="L653" s="737"/>
      <c r="M653" s="737"/>
      <c r="N653" s="737"/>
      <c r="O653" s="737"/>
      <c r="P653" s="737"/>
      <c r="Q653" s="572"/>
      <c r="R653" s="572"/>
      <c r="S653" s="572"/>
      <c r="T653" s="572"/>
      <c r="U653" s="572"/>
      <c r="V653" s="572"/>
      <c r="W653" s="572"/>
      <c r="X653" s="572"/>
      <c r="Y653" s="572"/>
      <c r="Z653" s="572"/>
    </row>
    <row r="654" spans="1:26" ht="19.5" hidden="1">
      <c r="A654" s="667"/>
      <c r="B654" s="666" t="s">
        <v>279</v>
      </c>
      <c r="C654" s="667"/>
      <c r="D654" s="667"/>
      <c r="E654" s="667"/>
      <c r="F654" s="667"/>
      <c r="G654" s="668"/>
      <c r="H654" s="701" t="s">
        <v>46</v>
      </c>
      <c r="I654" s="702">
        <f t="shared" ref="I654:J654" ca="1" si="272">I669</f>
        <v>0</v>
      </c>
      <c r="J654" s="702">
        <f t="shared" si="272"/>
        <v>0</v>
      </c>
      <c r="K654" s="671">
        <f ca="1">IF(I654&gt;0,J654*100/I654,0)</f>
        <v>0</v>
      </c>
      <c r="L654" s="672"/>
      <c r="M654" s="672"/>
      <c r="N654" s="672"/>
      <c r="O654" s="672"/>
      <c r="P654" s="672"/>
      <c r="Q654" s="572"/>
      <c r="R654" s="572"/>
      <c r="S654" s="572"/>
      <c r="T654" s="572"/>
      <c r="U654" s="572"/>
      <c r="V654" s="572"/>
      <c r="W654" s="572"/>
      <c r="X654" s="572"/>
      <c r="Y654" s="572"/>
      <c r="Z654" s="572"/>
    </row>
    <row r="655" spans="1:26" ht="19.5" hidden="1">
      <c r="A655" s="591"/>
      <c r="B655" s="757"/>
      <c r="C655" s="757" t="s">
        <v>16</v>
      </c>
      <c r="D655" s="887" t="s">
        <v>17</v>
      </c>
      <c r="E655" s="888"/>
      <c r="F655" s="888"/>
      <c r="G655" s="189"/>
      <c r="H655" s="592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2"/>
      <c r="R655" s="572"/>
      <c r="S655" s="572"/>
      <c r="T655" s="572"/>
      <c r="U655" s="572"/>
      <c r="V655" s="572"/>
      <c r="W655" s="572"/>
      <c r="X655" s="572"/>
      <c r="Y655" s="572"/>
      <c r="Z655" s="572"/>
    </row>
    <row r="656" spans="1:26" ht="18.75" hidden="1">
      <c r="A656" s="593"/>
      <c r="B656" s="753"/>
      <c r="C656" s="753"/>
      <c r="D656" s="714"/>
      <c r="E656" s="753" t="s">
        <v>184</v>
      </c>
      <c r="F656" s="753"/>
      <c r="G656" s="597"/>
      <c r="H656" s="165" t="s">
        <v>12</v>
      </c>
      <c r="I656" s="611"/>
      <c r="J656" s="611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598"/>
      <c r="R656" s="598"/>
      <c r="S656" s="598"/>
      <c r="T656" s="598"/>
      <c r="U656" s="598"/>
      <c r="V656" s="598"/>
      <c r="W656" s="598"/>
      <c r="X656" s="598"/>
      <c r="Y656" s="598"/>
      <c r="Z656" s="598"/>
    </row>
    <row r="657" spans="1:26" ht="18.75" hidden="1">
      <c r="A657" s="593"/>
      <c r="B657" s="601"/>
      <c r="C657" s="753"/>
      <c r="D657" s="714"/>
      <c r="E657" s="753" t="s">
        <v>185</v>
      </c>
      <c r="F657" s="753"/>
      <c r="G657" s="597"/>
      <c r="H657" s="165" t="s">
        <v>12</v>
      </c>
      <c r="I657" s="611"/>
      <c r="J657" s="611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598"/>
      <c r="R657" s="598"/>
      <c r="S657" s="598"/>
      <c r="T657" s="598"/>
      <c r="U657" s="598"/>
      <c r="V657" s="598"/>
      <c r="W657" s="598"/>
      <c r="X657" s="598"/>
      <c r="Y657" s="598"/>
      <c r="Z657" s="598"/>
    </row>
    <row r="658" spans="1:26" ht="18.75" hidden="1">
      <c r="A658" s="591"/>
      <c r="B658" s="569"/>
      <c r="C658" s="757"/>
      <c r="D658" s="600" t="s">
        <v>20</v>
      </c>
      <c r="E658" s="757"/>
      <c r="F658" s="757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2"/>
      <c r="R658" s="572"/>
      <c r="S658" s="572"/>
      <c r="T658" s="572"/>
      <c r="U658" s="572"/>
      <c r="V658" s="572"/>
      <c r="W658" s="572"/>
      <c r="X658" s="572"/>
      <c r="Y658" s="572"/>
      <c r="Z658" s="572"/>
    </row>
    <row r="659" spans="1:26" ht="18.75" hidden="1">
      <c r="A659" s="593"/>
      <c r="B659" s="601"/>
      <c r="C659" s="753"/>
      <c r="D659" s="714"/>
      <c r="E659" s="753" t="s">
        <v>184</v>
      </c>
      <c r="F659" s="753"/>
      <c r="G659" s="597"/>
      <c r="H659" s="165" t="s">
        <v>12</v>
      </c>
      <c r="I659" s="611"/>
      <c r="J659" s="611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598"/>
      <c r="R659" s="598"/>
      <c r="S659" s="598"/>
      <c r="T659" s="598"/>
      <c r="U659" s="598"/>
      <c r="V659" s="598"/>
      <c r="W659" s="598"/>
      <c r="X659" s="598"/>
      <c r="Y659" s="598"/>
      <c r="Z659" s="598"/>
    </row>
    <row r="660" spans="1:26" ht="18.75" hidden="1">
      <c r="A660" s="593"/>
      <c r="B660" s="601"/>
      <c r="C660" s="753"/>
      <c r="D660" s="714"/>
      <c r="E660" s="753" t="s">
        <v>185</v>
      </c>
      <c r="F660" s="753"/>
      <c r="G660" s="597"/>
      <c r="H660" s="165" t="s">
        <v>12</v>
      </c>
      <c r="I660" s="611"/>
      <c r="J660" s="611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598"/>
      <c r="R660" s="598"/>
      <c r="S660" s="598"/>
      <c r="T660" s="598"/>
      <c r="U660" s="598"/>
      <c r="V660" s="598"/>
      <c r="W660" s="598"/>
      <c r="X660" s="598"/>
      <c r="Y660" s="598"/>
      <c r="Z660" s="598"/>
    </row>
    <row r="661" spans="1:26" ht="18.75" hidden="1">
      <c r="A661" s="568"/>
      <c r="B661" s="569"/>
      <c r="C661" s="757"/>
      <c r="D661" s="757"/>
      <c r="E661" s="757"/>
      <c r="F661" s="757" t="s">
        <v>186</v>
      </c>
      <c r="G661" s="189"/>
      <c r="H661" s="161" t="s">
        <v>12</v>
      </c>
      <c r="I661" s="270"/>
      <c r="J661" s="270"/>
      <c r="K661" s="497"/>
      <c r="L661" s="497"/>
      <c r="M661" s="497"/>
      <c r="N661" s="834">
        <v>0</v>
      </c>
      <c r="O661" s="497"/>
      <c r="P661" s="497"/>
      <c r="Q661" s="572"/>
      <c r="R661" s="572"/>
      <c r="S661" s="572"/>
      <c r="T661" s="572"/>
      <c r="U661" s="572"/>
      <c r="V661" s="572"/>
      <c r="W661" s="572"/>
      <c r="X661" s="572"/>
      <c r="Y661" s="572"/>
      <c r="Z661" s="572"/>
    </row>
    <row r="662" spans="1:26" ht="18.75" hidden="1">
      <c r="A662" s="568"/>
      <c r="B662" s="569"/>
      <c r="C662" s="757"/>
      <c r="D662" s="757"/>
      <c r="E662" s="757"/>
      <c r="F662" s="757" t="s">
        <v>187</v>
      </c>
      <c r="G662" s="189"/>
      <c r="H662" s="161" t="s">
        <v>12</v>
      </c>
      <c r="I662" s="270"/>
      <c r="J662" s="270"/>
      <c r="K662" s="497"/>
      <c r="L662" s="497"/>
      <c r="M662" s="497"/>
      <c r="N662" s="834">
        <v>0</v>
      </c>
      <c r="O662" s="497"/>
      <c r="P662" s="497"/>
      <c r="Q662" s="572"/>
      <c r="R662" s="572"/>
      <c r="S662" s="572"/>
      <c r="T662" s="572"/>
      <c r="U662" s="572"/>
      <c r="V662" s="572"/>
      <c r="W662" s="572"/>
      <c r="X662" s="572"/>
      <c r="Y662" s="572"/>
      <c r="Z662" s="572"/>
    </row>
    <row r="663" spans="1:26" ht="18.75" hidden="1">
      <c r="A663" s="568"/>
      <c r="B663" s="569"/>
      <c r="C663" s="569"/>
      <c r="D663" s="757"/>
      <c r="E663" s="757"/>
      <c r="F663" s="757" t="s">
        <v>188</v>
      </c>
      <c r="G663" s="189"/>
      <c r="H663" s="161" t="s">
        <v>12</v>
      </c>
      <c r="I663" s="270"/>
      <c r="J663" s="270"/>
      <c r="K663" s="497"/>
      <c r="L663" s="497"/>
      <c r="M663" s="497"/>
      <c r="N663" s="834">
        <v>0</v>
      </c>
      <c r="O663" s="497"/>
      <c r="P663" s="497"/>
      <c r="Q663" s="572"/>
      <c r="R663" s="572"/>
      <c r="S663" s="572"/>
      <c r="T663" s="572"/>
      <c r="U663" s="572"/>
      <c r="V663" s="572"/>
      <c r="W663" s="572"/>
      <c r="X663" s="572"/>
      <c r="Y663" s="572"/>
      <c r="Z663" s="572"/>
    </row>
    <row r="664" spans="1:26" ht="18.75" hidden="1">
      <c r="A664" s="568"/>
      <c r="B664" s="569"/>
      <c r="C664" s="569"/>
      <c r="D664" s="569"/>
      <c r="E664" s="757"/>
      <c r="F664" s="757" t="s">
        <v>189</v>
      </c>
      <c r="G664" s="189"/>
      <c r="H664" s="161" t="s">
        <v>12</v>
      </c>
      <c r="I664" s="270"/>
      <c r="J664" s="270"/>
      <c r="K664" s="497"/>
      <c r="L664" s="497"/>
      <c r="M664" s="497"/>
      <c r="N664" s="834">
        <v>0</v>
      </c>
      <c r="O664" s="497"/>
      <c r="P664" s="497"/>
      <c r="Q664" s="572"/>
      <c r="R664" s="572"/>
      <c r="S664" s="572"/>
      <c r="T664" s="572"/>
      <c r="U664" s="572"/>
      <c r="V664" s="572"/>
      <c r="W664" s="572"/>
      <c r="X664" s="572"/>
      <c r="Y664" s="572"/>
      <c r="Z664" s="572"/>
    </row>
    <row r="665" spans="1:26" ht="18.75" hidden="1">
      <c r="A665" s="591"/>
      <c r="B665" s="569"/>
      <c r="C665" s="569"/>
      <c r="D665" s="600" t="s">
        <v>21</v>
      </c>
      <c r="E665" s="757"/>
      <c r="F665" s="757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2"/>
      <c r="R665" s="572"/>
      <c r="S665" s="572"/>
      <c r="T665" s="572"/>
      <c r="U665" s="572"/>
      <c r="V665" s="572"/>
      <c r="W665" s="572"/>
      <c r="X665" s="572"/>
      <c r="Y665" s="572"/>
      <c r="Z665" s="572"/>
    </row>
    <row r="666" spans="1:26" ht="18.75" hidden="1">
      <c r="A666" s="593"/>
      <c r="B666" s="601"/>
      <c r="C666" s="601"/>
      <c r="D666" s="601"/>
      <c r="E666" s="753" t="s">
        <v>18</v>
      </c>
      <c r="F666" s="753"/>
      <c r="G666" s="597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598"/>
      <c r="R666" s="598"/>
      <c r="S666" s="598"/>
      <c r="T666" s="598"/>
      <c r="U666" s="598"/>
      <c r="V666" s="598"/>
      <c r="W666" s="598"/>
      <c r="X666" s="598"/>
      <c r="Y666" s="598"/>
      <c r="Z666" s="598"/>
    </row>
    <row r="667" spans="1:26" ht="18.75" hidden="1">
      <c r="A667" s="593"/>
      <c r="B667" s="601"/>
      <c r="C667" s="601"/>
      <c r="D667" s="601"/>
      <c r="E667" s="753" t="s">
        <v>19</v>
      </c>
      <c r="F667" s="753"/>
      <c r="G667" s="597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598"/>
      <c r="R667" s="598"/>
      <c r="S667" s="598"/>
      <c r="T667" s="598"/>
      <c r="U667" s="598"/>
      <c r="V667" s="598"/>
      <c r="W667" s="598"/>
      <c r="X667" s="598"/>
      <c r="Y667" s="598"/>
      <c r="Z667" s="598"/>
    </row>
    <row r="668" spans="1:26" ht="19.5" hidden="1">
      <c r="A668" s="602"/>
      <c r="B668" s="612"/>
      <c r="C668" s="569" t="s">
        <v>16</v>
      </c>
      <c r="D668" s="860" t="s">
        <v>38</v>
      </c>
      <c r="E668" s="755"/>
      <c r="F668" s="755"/>
      <c r="G668" s="607"/>
      <c r="H668" s="756"/>
      <c r="I668" s="184"/>
      <c r="J668" s="184"/>
      <c r="K668" s="163"/>
      <c r="L668" s="163"/>
      <c r="M668" s="163"/>
      <c r="N668" s="163"/>
      <c r="O668" s="163"/>
      <c r="P668" s="163"/>
      <c r="Q668" s="572"/>
      <c r="R668" s="572"/>
      <c r="S668" s="572"/>
      <c r="T668" s="572"/>
      <c r="U668" s="572"/>
      <c r="V668" s="572"/>
      <c r="W668" s="572"/>
      <c r="X668" s="572"/>
      <c r="Y668" s="572"/>
      <c r="Z668" s="572"/>
    </row>
    <row r="669" spans="1:26" ht="19.5" hidden="1">
      <c r="A669" s="602"/>
      <c r="B669" s="612"/>
      <c r="C669" s="612"/>
      <c r="D669" s="612" t="s">
        <v>280</v>
      </c>
      <c r="E669" s="620"/>
      <c r="F669" s="620"/>
      <c r="G669" s="756"/>
      <c r="H669" s="761" t="s">
        <v>46</v>
      </c>
      <c r="I669" s="675">
        <f ca="1">IFERROR(__xludf.DUMMYFUNCTION("IMPORTRANGE(""https://docs.google.com/spreadsheets/d/1QqKyyYR6Q21VydFLVH3TRQUabQu_ym0Zz7PgGX0-kHA/edit?usp=sharing"",""แผน!IA39"")"),0)</f>
        <v>0</v>
      </c>
      <c r="J669" s="675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2"/>
      <c r="R669" s="572"/>
      <c r="S669" s="572"/>
      <c r="T669" s="572"/>
      <c r="U669" s="572"/>
      <c r="V669" s="572"/>
      <c r="W669" s="572"/>
      <c r="X669" s="572"/>
      <c r="Y669" s="572"/>
      <c r="Z669" s="572"/>
    </row>
    <row r="670" spans="1:26" ht="18.75" hidden="1">
      <c r="A670" s="602"/>
      <c r="B670" s="612"/>
      <c r="C670" s="612"/>
      <c r="D670" s="612"/>
      <c r="E670" s="620" t="s">
        <v>281</v>
      </c>
      <c r="F670" s="620"/>
      <c r="G670" s="756"/>
      <c r="H670" s="758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2"/>
      <c r="R670" s="572"/>
      <c r="S670" s="572"/>
      <c r="T670" s="572"/>
      <c r="U670" s="572"/>
      <c r="V670" s="572"/>
      <c r="W670" s="572"/>
      <c r="X670" s="572"/>
      <c r="Y670" s="572"/>
      <c r="Z670" s="572"/>
    </row>
    <row r="671" spans="1:26" ht="18.75" hidden="1">
      <c r="A671" s="602"/>
      <c r="B671" s="612"/>
      <c r="C671" s="612"/>
      <c r="D671" s="612"/>
      <c r="E671" s="620" t="s">
        <v>282</v>
      </c>
      <c r="F671" s="620"/>
      <c r="G671" s="756"/>
      <c r="H671" s="758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2"/>
      <c r="R671" s="572"/>
      <c r="S671" s="572"/>
      <c r="T671" s="572"/>
      <c r="U671" s="572"/>
      <c r="V671" s="572"/>
      <c r="W671" s="572"/>
      <c r="X671" s="572"/>
      <c r="Y671" s="572"/>
      <c r="Z671" s="572"/>
    </row>
    <row r="672" spans="1:26" ht="18.75" hidden="1">
      <c r="A672" s="602"/>
      <c r="B672" s="612"/>
      <c r="C672" s="612"/>
      <c r="D672" s="612"/>
      <c r="E672" s="620" t="s">
        <v>283</v>
      </c>
      <c r="F672" s="620"/>
      <c r="G672" s="756"/>
      <c r="H672" s="758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2"/>
      <c r="R672" s="572"/>
      <c r="S672" s="572"/>
      <c r="T672" s="572"/>
      <c r="U672" s="572"/>
      <c r="V672" s="572"/>
      <c r="W672" s="572"/>
      <c r="X672" s="572"/>
      <c r="Y672" s="572"/>
      <c r="Z672" s="572"/>
    </row>
    <row r="673" spans="1:26" ht="18.75" hidden="1">
      <c r="A673" s="602"/>
      <c r="B673" s="612"/>
      <c r="C673" s="612"/>
      <c r="D673" s="612"/>
      <c r="E673" s="620" t="s">
        <v>284</v>
      </c>
      <c r="F673" s="620"/>
      <c r="G673" s="756"/>
      <c r="H673" s="758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2"/>
      <c r="R673" s="572"/>
      <c r="S673" s="572"/>
      <c r="T673" s="572"/>
      <c r="U673" s="572"/>
      <c r="V673" s="572"/>
      <c r="W673" s="572"/>
      <c r="X673" s="572"/>
      <c r="Y673" s="572"/>
      <c r="Z673" s="572"/>
    </row>
    <row r="674" spans="1:26" ht="18.75" hidden="1">
      <c r="A674" s="602"/>
      <c r="B674" s="612"/>
      <c r="C674" s="612"/>
      <c r="D674" s="612"/>
      <c r="E674" s="620" t="s">
        <v>285</v>
      </c>
      <c r="F674" s="620"/>
      <c r="G674" s="756"/>
      <c r="H674" s="758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2"/>
      <c r="R674" s="572"/>
      <c r="S674" s="572"/>
      <c r="T674" s="572"/>
      <c r="U674" s="572"/>
      <c r="V674" s="572"/>
      <c r="W674" s="572"/>
      <c r="X674" s="572"/>
      <c r="Y674" s="572"/>
      <c r="Z674" s="572"/>
    </row>
    <row r="675" spans="1:26" ht="19.5" hidden="1">
      <c r="A675" s="602"/>
      <c r="B675" s="612"/>
      <c r="C675" s="612"/>
      <c r="D675" s="612"/>
      <c r="E675" s="620" t="s">
        <v>286</v>
      </c>
      <c r="F675" s="620"/>
      <c r="G675" s="756"/>
      <c r="H675" s="758" t="s">
        <v>46</v>
      </c>
      <c r="I675" s="270"/>
      <c r="J675" s="675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2"/>
      <c r="R675" s="572"/>
      <c r="S675" s="572"/>
      <c r="T675" s="572"/>
      <c r="U675" s="572"/>
      <c r="V675" s="572"/>
      <c r="W675" s="572"/>
      <c r="X675" s="572"/>
      <c r="Y675" s="572"/>
      <c r="Z675" s="572"/>
    </row>
    <row r="676" spans="1:26" ht="18.75" hidden="1">
      <c r="A676" s="602"/>
      <c r="B676" s="612"/>
      <c r="C676" s="612"/>
      <c r="D676" s="612"/>
      <c r="E676" s="620"/>
      <c r="F676" s="620" t="s">
        <v>287</v>
      </c>
      <c r="G676" s="756"/>
      <c r="H676" s="758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2"/>
      <c r="R676" s="572"/>
      <c r="S676" s="572"/>
      <c r="T676" s="572"/>
      <c r="U676" s="572"/>
      <c r="V676" s="572"/>
      <c r="W676" s="572"/>
      <c r="X676" s="572"/>
      <c r="Y676" s="572"/>
      <c r="Z676" s="572"/>
    </row>
    <row r="677" spans="1:26" ht="18.75" hidden="1">
      <c r="A677" s="602"/>
      <c r="B677" s="612"/>
      <c r="C677" s="612"/>
      <c r="D677" s="612"/>
      <c r="E677" s="620"/>
      <c r="F677" s="620" t="s">
        <v>288</v>
      </c>
      <c r="G677" s="756"/>
      <c r="H677" s="758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2"/>
      <c r="R677" s="572"/>
      <c r="S677" s="572"/>
      <c r="T677" s="572"/>
      <c r="U677" s="572"/>
      <c r="V677" s="572"/>
      <c r="W677" s="572"/>
      <c r="X677" s="572"/>
      <c r="Y677" s="572"/>
      <c r="Z677" s="572"/>
    </row>
    <row r="678" spans="1:26" ht="19.5" hidden="1">
      <c r="A678" s="602"/>
      <c r="B678" s="612"/>
      <c r="C678" s="612"/>
      <c r="D678" s="612" t="s">
        <v>289</v>
      </c>
      <c r="E678" s="620"/>
      <c r="F678" s="620"/>
      <c r="G678" s="756"/>
      <c r="H678" s="758" t="s">
        <v>46</v>
      </c>
      <c r="I678" s="675">
        <f ca="1">IFERROR(__xludf.DUMMYFUNCTION("IMPORTRANGE(""https://docs.google.com/spreadsheets/d/1QqKyyYR6Q21VydFLVH3TRQUabQu_ym0Zz7PgGX0-kHA/edit?usp=sharing"",""แผน!IB39"")"),0)</f>
        <v>0</v>
      </c>
      <c r="J678" s="675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2"/>
      <c r="R678" s="572"/>
      <c r="S678" s="572"/>
      <c r="T678" s="572"/>
      <c r="U678" s="572"/>
      <c r="V678" s="572"/>
      <c r="W678" s="572"/>
      <c r="X678" s="572"/>
      <c r="Y678" s="572"/>
      <c r="Z678" s="572"/>
    </row>
    <row r="679" spans="1:26" ht="18.75" hidden="1">
      <c r="A679" s="602"/>
      <c r="B679" s="612"/>
      <c r="C679" s="612"/>
      <c r="D679" s="612"/>
      <c r="E679" s="620" t="s">
        <v>290</v>
      </c>
      <c r="F679" s="620"/>
      <c r="G679" s="756"/>
      <c r="H679" s="758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2"/>
      <c r="R679" s="572"/>
      <c r="S679" s="572"/>
      <c r="T679" s="572"/>
      <c r="U679" s="572"/>
      <c r="V679" s="572"/>
      <c r="W679" s="572"/>
      <c r="X679" s="572"/>
      <c r="Y679" s="572"/>
      <c r="Z679" s="572"/>
    </row>
    <row r="680" spans="1:26" ht="18.75" hidden="1">
      <c r="A680" s="602"/>
      <c r="B680" s="612"/>
      <c r="C680" s="612"/>
      <c r="D680" s="612"/>
      <c r="E680" s="620"/>
      <c r="F680" s="620" t="s">
        <v>287</v>
      </c>
      <c r="G680" s="756"/>
      <c r="H680" s="758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2"/>
      <c r="R680" s="572"/>
      <c r="S680" s="572"/>
      <c r="T680" s="572"/>
      <c r="U680" s="572"/>
      <c r="V680" s="572"/>
      <c r="W680" s="572"/>
      <c r="X680" s="572"/>
      <c r="Y680" s="572"/>
      <c r="Z680" s="572"/>
    </row>
    <row r="681" spans="1:26" ht="18.75" hidden="1">
      <c r="A681" s="602"/>
      <c r="B681" s="612"/>
      <c r="C681" s="612"/>
      <c r="D681" s="612"/>
      <c r="E681" s="620"/>
      <c r="F681" s="620" t="s">
        <v>288</v>
      </c>
      <c r="G681" s="756"/>
      <c r="H681" s="758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2"/>
      <c r="R681" s="572"/>
      <c r="S681" s="572"/>
      <c r="T681" s="572"/>
      <c r="U681" s="572"/>
      <c r="V681" s="572"/>
      <c r="W681" s="572"/>
      <c r="X681" s="572"/>
      <c r="Y681" s="572"/>
      <c r="Z681" s="572"/>
    </row>
    <row r="682" spans="1:26" ht="18.75" hidden="1">
      <c r="A682" s="602"/>
      <c r="B682" s="612"/>
      <c r="C682" s="612"/>
      <c r="D682" s="612"/>
      <c r="E682" s="620" t="s">
        <v>291</v>
      </c>
      <c r="F682" s="620"/>
      <c r="G682" s="756"/>
      <c r="H682" s="758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2"/>
      <c r="R682" s="572"/>
      <c r="S682" s="572"/>
      <c r="T682" s="572"/>
      <c r="U682" s="572"/>
      <c r="V682" s="572"/>
      <c r="W682" s="572"/>
      <c r="X682" s="572"/>
      <c r="Y682" s="572"/>
      <c r="Z682" s="572"/>
    </row>
    <row r="683" spans="1:26" ht="18.75" hidden="1">
      <c r="A683" s="602"/>
      <c r="B683" s="612"/>
      <c r="C683" s="612"/>
      <c r="D683" s="612"/>
      <c r="E683" s="620"/>
      <c r="F683" s="620" t="s">
        <v>292</v>
      </c>
      <c r="G683" s="756"/>
      <c r="H683" s="758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2"/>
      <c r="R683" s="572"/>
      <c r="S683" s="572"/>
      <c r="T683" s="572"/>
      <c r="U683" s="572"/>
      <c r="V683" s="572"/>
      <c r="W683" s="572"/>
      <c r="X683" s="572"/>
      <c r="Y683" s="572"/>
      <c r="Z683" s="572"/>
    </row>
    <row r="684" spans="1:26" ht="19.5" hidden="1">
      <c r="A684" s="747"/>
      <c r="B684" s="748" t="s">
        <v>293</v>
      </c>
      <c r="C684" s="747"/>
      <c r="D684" s="747"/>
      <c r="E684" s="747"/>
      <c r="F684" s="747"/>
      <c r="G684" s="749"/>
      <c r="H684" s="749"/>
      <c r="I684" s="750"/>
      <c r="J684" s="750"/>
      <c r="K684" s="751"/>
      <c r="L684" s="751"/>
      <c r="M684" s="751"/>
      <c r="N684" s="751"/>
      <c r="O684" s="751"/>
      <c r="P684" s="751"/>
      <c r="Q684" s="572"/>
      <c r="R684" s="572"/>
      <c r="S684" s="572"/>
      <c r="T684" s="572"/>
      <c r="U684" s="572"/>
      <c r="V684" s="572"/>
      <c r="W684" s="572"/>
      <c r="X684" s="572"/>
      <c r="Y684" s="572"/>
      <c r="Z684" s="572"/>
    </row>
    <row r="685" spans="1:26" ht="19.5" hidden="1">
      <c r="A685" s="591"/>
      <c r="B685" s="757"/>
      <c r="C685" s="757" t="s">
        <v>16</v>
      </c>
      <c r="D685" s="887" t="s">
        <v>17</v>
      </c>
      <c r="E685" s="888"/>
      <c r="F685" s="888"/>
      <c r="G685" s="189"/>
      <c r="H685" s="592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2"/>
      <c r="R685" s="572"/>
      <c r="S685" s="572"/>
      <c r="T685" s="572"/>
      <c r="U685" s="572"/>
      <c r="V685" s="572"/>
      <c r="W685" s="572"/>
      <c r="X685" s="572"/>
      <c r="Y685" s="572"/>
      <c r="Z685" s="572"/>
    </row>
    <row r="686" spans="1:26" ht="18.75" hidden="1">
      <c r="A686" s="593"/>
      <c r="B686" s="753"/>
      <c r="C686" s="753"/>
      <c r="D686" s="714"/>
      <c r="E686" s="753" t="s">
        <v>184</v>
      </c>
      <c r="F686" s="753"/>
      <c r="G686" s="597"/>
      <c r="H686" s="165" t="s">
        <v>12</v>
      </c>
      <c r="I686" s="611"/>
      <c r="J686" s="611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598"/>
      <c r="R686" s="598"/>
      <c r="S686" s="598"/>
      <c r="T686" s="598"/>
      <c r="U686" s="598"/>
      <c r="V686" s="598"/>
      <c r="W686" s="598"/>
      <c r="X686" s="598"/>
      <c r="Y686" s="598"/>
      <c r="Z686" s="598"/>
    </row>
    <row r="687" spans="1:26" ht="18.75" hidden="1">
      <c r="A687" s="593"/>
      <c r="B687" s="601"/>
      <c r="C687" s="753"/>
      <c r="D687" s="714"/>
      <c r="E687" s="753" t="s">
        <v>185</v>
      </c>
      <c r="F687" s="753"/>
      <c r="G687" s="597"/>
      <c r="H687" s="165" t="s">
        <v>12</v>
      </c>
      <c r="I687" s="611"/>
      <c r="J687" s="611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598"/>
      <c r="R687" s="598"/>
      <c r="S687" s="598"/>
      <c r="T687" s="598"/>
      <c r="U687" s="598"/>
      <c r="V687" s="598"/>
      <c r="W687" s="598"/>
      <c r="X687" s="598"/>
      <c r="Y687" s="598"/>
      <c r="Z687" s="598"/>
    </row>
    <row r="688" spans="1:26" ht="18.75" hidden="1">
      <c r="A688" s="591"/>
      <c r="B688" s="569"/>
      <c r="C688" s="757"/>
      <c r="D688" s="600" t="s">
        <v>20</v>
      </c>
      <c r="E688" s="757"/>
      <c r="F688" s="757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2"/>
      <c r="R688" s="572"/>
      <c r="S688" s="572"/>
      <c r="T688" s="572"/>
      <c r="U688" s="572"/>
      <c r="V688" s="572"/>
      <c r="W688" s="572"/>
      <c r="X688" s="572"/>
      <c r="Y688" s="572"/>
      <c r="Z688" s="572"/>
    </row>
    <row r="689" spans="1:26" ht="18.75" hidden="1">
      <c r="A689" s="593"/>
      <c r="B689" s="601"/>
      <c r="C689" s="753"/>
      <c r="D689" s="714"/>
      <c r="E689" s="753" t="s">
        <v>184</v>
      </c>
      <c r="F689" s="753"/>
      <c r="G689" s="597"/>
      <c r="H689" s="165" t="s">
        <v>12</v>
      </c>
      <c r="I689" s="611"/>
      <c r="J689" s="611"/>
      <c r="K689" s="93"/>
      <c r="L689" s="93">
        <v>0</v>
      </c>
      <c r="M689" s="93">
        <v>0</v>
      </c>
      <c r="N689" s="93">
        <v>0</v>
      </c>
      <c r="O689" s="93"/>
      <c r="P689" s="93"/>
      <c r="Q689" s="598"/>
      <c r="R689" s="598"/>
      <c r="S689" s="598"/>
      <c r="T689" s="598"/>
      <c r="U689" s="598"/>
      <c r="V689" s="598"/>
      <c r="W689" s="598"/>
      <c r="X689" s="598"/>
      <c r="Y689" s="598"/>
      <c r="Z689" s="598"/>
    </row>
    <row r="690" spans="1:26" ht="18.75" hidden="1">
      <c r="A690" s="593"/>
      <c r="B690" s="601"/>
      <c r="C690" s="753"/>
      <c r="D690" s="714"/>
      <c r="E690" s="753" t="s">
        <v>185</v>
      </c>
      <c r="F690" s="753"/>
      <c r="G690" s="597"/>
      <c r="H690" s="165" t="s">
        <v>12</v>
      </c>
      <c r="I690" s="611"/>
      <c r="J690" s="611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598"/>
      <c r="R690" s="598"/>
      <c r="S690" s="598"/>
      <c r="T690" s="598"/>
      <c r="U690" s="598"/>
      <c r="V690" s="598"/>
      <c r="W690" s="598"/>
      <c r="X690" s="598"/>
      <c r="Y690" s="598"/>
      <c r="Z690" s="598"/>
    </row>
    <row r="691" spans="1:26" ht="18.75" hidden="1">
      <c r="A691" s="568"/>
      <c r="B691" s="569"/>
      <c r="C691" s="757"/>
      <c r="D691" s="757"/>
      <c r="E691" s="757"/>
      <c r="F691" s="757" t="s">
        <v>186</v>
      </c>
      <c r="G691" s="189"/>
      <c r="H691" s="161" t="s">
        <v>12</v>
      </c>
      <c r="I691" s="270"/>
      <c r="J691" s="270"/>
      <c r="K691" s="497"/>
      <c r="L691" s="497"/>
      <c r="M691" s="497"/>
      <c r="N691" s="834">
        <v>0</v>
      </c>
      <c r="O691" s="497"/>
      <c r="P691" s="497"/>
      <c r="Q691" s="572"/>
      <c r="R691" s="572"/>
      <c r="S691" s="572"/>
      <c r="T691" s="572"/>
      <c r="U691" s="572"/>
      <c r="V691" s="572"/>
      <c r="W691" s="572"/>
      <c r="X691" s="572"/>
      <c r="Y691" s="572"/>
      <c r="Z691" s="572"/>
    </row>
    <row r="692" spans="1:26" ht="18.75" hidden="1">
      <c r="A692" s="568"/>
      <c r="B692" s="569"/>
      <c r="C692" s="757"/>
      <c r="D692" s="757"/>
      <c r="E692" s="757"/>
      <c r="F692" s="757" t="s">
        <v>187</v>
      </c>
      <c r="G692" s="189"/>
      <c r="H692" s="161" t="s">
        <v>12</v>
      </c>
      <c r="I692" s="270"/>
      <c r="J692" s="270"/>
      <c r="K692" s="497"/>
      <c r="L692" s="497"/>
      <c r="M692" s="497"/>
      <c r="N692" s="834">
        <v>0</v>
      </c>
      <c r="O692" s="497"/>
      <c r="P692" s="497"/>
      <c r="Q692" s="572"/>
      <c r="R692" s="572"/>
      <c r="S692" s="572"/>
      <c r="T692" s="572"/>
      <c r="U692" s="572"/>
      <c r="V692" s="572"/>
      <c r="W692" s="572"/>
      <c r="X692" s="572"/>
      <c r="Y692" s="572"/>
      <c r="Z692" s="572"/>
    </row>
    <row r="693" spans="1:26" ht="18.75" hidden="1">
      <c r="A693" s="568"/>
      <c r="B693" s="569"/>
      <c r="C693" s="757"/>
      <c r="D693" s="757"/>
      <c r="E693" s="757"/>
      <c r="F693" s="757" t="s">
        <v>188</v>
      </c>
      <c r="G693" s="189"/>
      <c r="H693" s="161" t="s">
        <v>12</v>
      </c>
      <c r="I693" s="270"/>
      <c r="J693" s="270"/>
      <c r="K693" s="497"/>
      <c r="L693" s="497"/>
      <c r="M693" s="497"/>
      <c r="N693" s="834">
        <v>0</v>
      </c>
      <c r="O693" s="497"/>
      <c r="P693" s="497"/>
      <c r="Q693" s="572"/>
      <c r="R693" s="572"/>
      <c r="S693" s="572"/>
      <c r="T693" s="572"/>
      <c r="U693" s="572"/>
      <c r="V693" s="572"/>
      <c r="W693" s="572"/>
      <c r="X693" s="572"/>
      <c r="Y693" s="572"/>
      <c r="Z693" s="572"/>
    </row>
    <row r="694" spans="1:26" ht="18.75" hidden="1">
      <c r="A694" s="568"/>
      <c r="B694" s="569"/>
      <c r="C694" s="757"/>
      <c r="D694" s="757"/>
      <c r="E694" s="757"/>
      <c r="F694" s="757" t="s">
        <v>189</v>
      </c>
      <c r="G694" s="189"/>
      <c r="H694" s="161" t="s">
        <v>12</v>
      </c>
      <c r="I694" s="270"/>
      <c r="J694" s="270"/>
      <c r="K694" s="497"/>
      <c r="L694" s="497"/>
      <c r="M694" s="497"/>
      <c r="N694" s="834">
        <v>0</v>
      </c>
      <c r="O694" s="497"/>
      <c r="P694" s="497"/>
      <c r="Q694" s="572"/>
      <c r="R694" s="572"/>
      <c r="S694" s="572"/>
      <c r="T694" s="572"/>
      <c r="U694" s="572"/>
      <c r="V694" s="572"/>
      <c r="W694" s="572"/>
      <c r="X694" s="572"/>
      <c r="Y694" s="572"/>
      <c r="Z694" s="572"/>
    </row>
    <row r="695" spans="1:26" ht="18.75" hidden="1">
      <c r="A695" s="591"/>
      <c r="B695" s="569"/>
      <c r="C695" s="757"/>
      <c r="D695" s="600" t="s">
        <v>21</v>
      </c>
      <c r="E695" s="757"/>
      <c r="F695" s="757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2"/>
      <c r="R695" s="572"/>
      <c r="S695" s="572"/>
      <c r="T695" s="572"/>
      <c r="U695" s="572"/>
      <c r="V695" s="572"/>
      <c r="W695" s="572"/>
      <c r="X695" s="572"/>
      <c r="Y695" s="572"/>
      <c r="Z695" s="572"/>
    </row>
    <row r="696" spans="1:26" ht="18.75" hidden="1">
      <c r="A696" s="593"/>
      <c r="B696" s="601"/>
      <c r="C696" s="753"/>
      <c r="D696" s="753"/>
      <c r="E696" s="753" t="s">
        <v>18</v>
      </c>
      <c r="F696" s="753"/>
      <c r="G696" s="597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598"/>
      <c r="R696" s="598"/>
      <c r="S696" s="598"/>
      <c r="T696" s="598"/>
      <c r="U696" s="598"/>
      <c r="V696" s="598"/>
      <c r="W696" s="598"/>
      <c r="X696" s="598"/>
      <c r="Y696" s="598"/>
      <c r="Z696" s="598"/>
    </row>
    <row r="697" spans="1:26" ht="18.75" hidden="1">
      <c r="A697" s="593"/>
      <c r="B697" s="601"/>
      <c r="C697" s="753"/>
      <c r="D697" s="753"/>
      <c r="E697" s="753" t="s">
        <v>19</v>
      </c>
      <c r="F697" s="753"/>
      <c r="G697" s="597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598"/>
      <c r="R697" s="598"/>
      <c r="S697" s="598"/>
      <c r="T697" s="598"/>
      <c r="U697" s="598"/>
      <c r="V697" s="598"/>
      <c r="W697" s="598"/>
      <c r="X697" s="598"/>
      <c r="Y697" s="598"/>
      <c r="Z697" s="598"/>
    </row>
    <row r="698" spans="1:26" ht="19.5" hidden="1">
      <c r="A698" s="602"/>
      <c r="B698" s="612"/>
      <c r="C698" s="757" t="s">
        <v>16</v>
      </c>
      <c r="D698" s="864" t="s">
        <v>38</v>
      </c>
      <c r="E698" s="755"/>
      <c r="F698" s="755"/>
      <c r="G698" s="607"/>
      <c r="H698" s="756"/>
      <c r="I698" s="184"/>
      <c r="J698" s="184"/>
      <c r="K698" s="163"/>
      <c r="L698" s="163"/>
      <c r="M698" s="163"/>
      <c r="N698" s="163"/>
      <c r="O698" s="163"/>
      <c r="P698" s="163"/>
      <c r="Q698" s="572"/>
      <c r="R698" s="572"/>
      <c r="S698" s="572"/>
      <c r="T698" s="572"/>
      <c r="U698" s="572"/>
      <c r="V698" s="572"/>
      <c r="W698" s="572"/>
      <c r="X698" s="572"/>
      <c r="Y698" s="572"/>
      <c r="Z698" s="572"/>
    </row>
    <row r="699" spans="1:26" ht="18.75" hidden="1">
      <c r="A699" s="738"/>
      <c r="B699" s="757"/>
      <c r="C699" s="757"/>
      <c r="D699" s="757" t="s">
        <v>294</v>
      </c>
      <c r="E699" s="757"/>
      <c r="F699" s="757"/>
      <c r="G699" s="189"/>
      <c r="H699" s="758" t="s">
        <v>46</v>
      </c>
      <c r="I699" s="759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0"/>
      <c r="O699" s="497"/>
      <c r="P699" s="497"/>
      <c r="Q699" s="572"/>
      <c r="R699" s="572"/>
      <c r="S699" s="572"/>
      <c r="T699" s="572"/>
      <c r="U699" s="572"/>
      <c r="V699" s="572"/>
      <c r="W699" s="572"/>
      <c r="X699" s="572"/>
      <c r="Y699" s="572"/>
      <c r="Z699" s="572"/>
    </row>
    <row r="700" spans="1:26" ht="18.75" hidden="1">
      <c r="A700" s="738"/>
      <c r="B700" s="757"/>
      <c r="C700" s="757"/>
      <c r="D700" s="757" t="s">
        <v>295</v>
      </c>
      <c r="E700" s="757"/>
      <c r="F700" s="757"/>
      <c r="G700" s="189"/>
      <c r="H700" s="758" t="s">
        <v>35</v>
      </c>
      <c r="I700" s="759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0"/>
      <c r="O700" s="497"/>
      <c r="P700" s="497"/>
      <c r="Q700" s="572"/>
      <c r="R700" s="572"/>
      <c r="S700" s="572"/>
      <c r="T700" s="572"/>
      <c r="U700" s="572"/>
      <c r="V700" s="572"/>
      <c r="W700" s="572"/>
      <c r="X700" s="572"/>
      <c r="Y700" s="572"/>
      <c r="Z700" s="572"/>
    </row>
    <row r="701" spans="1:26" ht="19.5" hidden="1">
      <c r="A701" s="738"/>
      <c r="B701" s="757"/>
      <c r="C701" s="757"/>
      <c r="D701" s="757" t="s">
        <v>296</v>
      </c>
      <c r="E701" s="757"/>
      <c r="F701" s="757"/>
      <c r="G701" s="189"/>
      <c r="H701" s="761" t="s">
        <v>46</v>
      </c>
      <c r="I701" s="762">
        <f ca="1">IFERROR(__xludf.DUMMYFUNCTION("IMPORTRANGE(""https://docs.google.com/spreadsheets/d/1QqKyyYR6Q21VydFLVH3TRQUabQu_ym0Zz7PgGX0-kHA/edit?usp=sharing"",""แผน!IE39"")"),0)</f>
        <v>0</v>
      </c>
      <c r="J701" s="675">
        <f>J704+J707</f>
        <v>0</v>
      </c>
      <c r="K701" s="195">
        <f t="shared" ca="1" si="290"/>
        <v>0</v>
      </c>
      <c r="L701" s="497"/>
      <c r="M701" s="189"/>
      <c r="N701" s="760"/>
      <c r="O701" s="497"/>
      <c r="P701" s="497"/>
      <c r="Q701" s="572"/>
      <c r="R701" s="572"/>
      <c r="S701" s="572"/>
      <c r="T701" s="572"/>
      <c r="U701" s="572"/>
      <c r="V701" s="572"/>
      <c r="W701" s="572"/>
      <c r="X701" s="572"/>
      <c r="Y701" s="572"/>
      <c r="Z701" s="572"/>
    </row>
    <row r="702" spans="1:26" ht="18.75" hidden="1">
      <c r="A702" s="738"/>
      <c r="B702" s="757"/>
      <c r="C702" s="757"/>
      <c r="D702" s="757"/>
      <c r="E702" s="757" t="s">
        <v>297</v>
      </c>
      <c r="F702" s="757"/>
      <c r="G702" s="189"/>
      <c r="H702" s="758" t="s">
        <v>35</v>
      </c>
      <c r="I702" s="759"/>
      <c r="J702" s="215">
        <v>0</v>
      </c>
      <c r="K702" s="497"/>
      <c r="L702" s="497"/>
      <c r="M702" s="189"/>
      <c r="N702" s="760"/>
      <c r="O702" s="497"/>
      <c r="P702" s="497"/>
      <c r="Q702" s="572"/>
      <c r="R702" s="572"/>
      <c r="S702" s="572"/>
      <c r="T702" s="572"/>
      <c r="U702" s="572"/>
      <c r="V702" s="572"/>
      <c r="W702" s="572"/>
      <c r="X702" s="572"/>
      <c r="Y702" s="572"/>
      <c r="Z702" s="572"/>
    </row>
    <row r="703" spans="1:26" ht="18.75" hidden="1">
      <c r="A703" s="738"/>
      <c r="B703" s="757"/>
      <c r="C703" s="757"/>
      <c r="D703" s="757"/>
      <c r="E703" s="757"/>
      <c r="F703" s="757"/>
      <c r="G703" s="189"/>
      <c r="H703" s="758" t="s">
        <v>34</v>
      </c>
      <c r="I703" s="759"/>
      <c r="J703" s="215">
        <v>0</v>
      </c>
      <c r="K703" s="497"/>
      <c r="L703" s="497"/>
      <c r="M703" s="189"/>
      <c r="N703" s="760"/>
      <c r="O703" s="497"/>
      <c r="P703" s="497"/>
      <c r="Q703" s="572"/>
      <c r="R703" s="572"/>
      <c r="S703" s="572"/>
      <c r="T703" s="572"/>
      <c r="U703" s="572"/>
      <c r="V703" s="572"/>
      <c r="W703" s="572"/>
      <c r="X703" s="572"/>
      <c r="Y703" s="572"/>
      <c r="Z703" s="572"/>
    </row>
    <row r="704" spans="1:26" ht="18.75" hidden="1">
      <c r="A704" s="738"/>
      <c r="B704" s="757"/>
      <c r="C704" s="757"/>
      <c r="D704" s="757"/>
      <c r="E704" s="757"/>
      <c r="F704" s="757"/>
      <c r="G704" s="189"/>
      <c r="H704" s="758" t="s">
        <v>46</v>
      </c>
      <c r="I704" s="759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0"/>
      <c r="O704" s="497"/>
      <c r="P704" s="497"/>
      <c r="Q704" s="572"/>
      <c r="R704" s="572"/>
      <c r="S704" s="572"/>
      <c r="T704" s="572"/>
      <c r="U704" s="572"/>
      <c r="V704" s="572"/>
      <c r="W704" s="572"/>
      <c r="X704" s="572"/>
      <c r="Y704" s="572"/>
      <c r="Z704" s="572"/>
    </row>
    <row r="705" spans="1:26" ht="18.75" hidden="1">
      <c r="A705" s="738"/>
      <c r="B705" s="757"/>
      <c r="C705" s="757"/>
      <c r="D705" s="757"/>
      <c r="E705" s="757" t="s">
        <v>298</v>
      </c>
      <c r="F705" s="757"/>
      <c r="G705" s="189"/>
      <c r="H705" s="758" t="s">
        <v>35</v>
      </c>
      <c r="I705" s="759"/>
      <c r="J705" s="215">
        <v>0</v>
      </c>
      <c r="K705" s="497"/>
      <c r="L705" s="497"/>
      <c r="M705" s="189"/>
      <c r="N705" s="760"/>
      <c r="O705" s="497"/>
      <c r="P705" s="497"/>
      <c r="Q705" s="572"/>
      <c r="R705" s="572"/>
      <c r="S705" s="572"/>
      <c r="T705" s="572"/>
      <c r="U705" s="572"/>
      <c r="V705" s="572"/>
      <c r="W705" s="572"/>
      <c r="X705" s="572"/>
      <c r="Y705" s="572"/>
      <c r="Z705" s="572"/>
    </row>
    <row r="706" spans="1:26" ht="18.75" hidden="1">
      <c r="A706" s="738"/>
      <c r="B706" s="757"/>
      <c r="C706" s="757"/>
      <c r="D706" s="757"/>
      <c r="E706" s="757"/>
      <c r="F706" s="757"/>
      <c r="G706" s="189"/>
      <c r="H706" s="758" t="s">
        <v>34</v>
      </c>
      <c r="I706" s="759"/>
      <c r="J706" s="215">
        <v>0</v>
      </c>
      <c r="K706" s="497"/>
      <c r="L706" s="497"/>
      <c r="M706" s="189"/>
      <c r="N706" s="760"/>
      <c r="O706" s="497"/>
      <c r="P706" s="497"/>
      <c r="Q706" s="572"/>
      <c r="R706" s="572"/>
      <c r="S706" s="572"/>
      <c r="T706" s="572"/>
      <c r="U706" s="572"/>
      <c r="V706" s="572"/>
      <c r="W706" s="572"/>
      <c r="X706" s="572"/>
      <c r="Y706" s="572"/>
      <c r="Z706" s="572"/>
    </row>
    <row r="707" spans="1:26" ht="18.75" hidden="1">
      <c r="A707" s="738"/>
      <c r="B707" s="757"/>
      <c r="C707" s="757"/>
      <c r="D707" s="757"/>
      <c r="E707" s="757"/>
      <c r="F707" s="757"/>
      <c r="G707" s="189"/>
      <c r="H707" s="758" t="s">
        <v>46</v>
      </c>
      <c r="I707" s="759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0"/>
      <c r="O707" s="497"/>
      <c r="P707" s="497"/>
      <c r="Q707" s="572"/>
      <c r="R707" s="572"/>
      <c r="S707" s="572"/>
      <c r="T707" s="572"/>
      <c r="U707" s="572"/>
      <c r="V707" s="572"/>
      <c r="W707" s="572"/>
      <c r="X707" s="572"/>
      <c r="Y707" s="572"/>
      <c r="Z707" s="572"/>
    </row>
    <row r="708" spans="1:26" ht="19.5" hidden="1">
      <c r="A708" s="738"/>
      <c r="B708" s="757"/>
      <c r="C708" s="757"/>
      <c r="D708" s="763" t="s">
        <v>299</v>
      </c>
      <c r="E708" s="757"/>
      <c r="F708" s="757"/>
      <c r="G708" s="189"/>
      <c r="H708" s="761" t="s">
        <v>46</v>
      </c>
      <c r="I708" s="762">
        <f ca="1">IFERROR(__xludf.DUMMYFUNCTION("IMPORTRANGE(""https://docs.google.com/spreadsheets/d/1QqKyyYR6Q21VydFLVH3TRQUabQu_ym0Zz7PgGX0-kHA/edit?usp=sharing"",""แผน!IH39"")"),0)</f>
        <v>0</v>
      </c>
      <c r="J708" s="675">
        <f>J714+J717</f>
        <v>0</v>
      </c>
      <c r="K708" s="195">
        <f ca="1">IF(I708&gt;0,J708*100/I708,0)</f>
        <v>0</v>
      </c>
      <c r="L708" s="497"/>
      <c r="M708" s="189"/>
      <c r="N708" s="760"/>
      <c r="O708" s="497"/>
      <c r="P708" s="497"/>
      <c r="Q708" s="572"/>
      <c r="R708" s="572"/>
      <c r="S708" s="572"/>
      <c r="T708" s="572"/>
      <c r="U708" s="572"/>
      <c r="V708" s="572"/>
      <c r="W708" s="572"/>
      <c r="X708" s="572"/>
      <c r="Y708" s="572"/>
      <c r="Z708" s="572"/>
    </row>
    <row r="709" spans="1:26" ht="18.75" hidden="1">
      <c r="A709" s="738"/>
      <c r="B709" s="757"/>
      <c r="C709" s="757"/>
      <c r="D709" s="757"/>
      <c r="E709" s="757" t="s">
        <v>300</v>
      </c>
      <c r="F709" s="757"/>
      <c r="G709" s="189"/>
      <c r="H709" s="758" t="s">
        <v>34</v>
      </c>
      <c r="I709" s="759"/>
      <c r="J709" s="215">
        <v>0</v>
      </c>
      <c r="K709" s="497"/>
      <c r="L709" s="760"/>
      <c r="M709" s="189"/>
      <c r="N709" s="760"/>
      <c r="O709" s="497"/>
      <c r="P709" s="497"/>
      <c r="Q709" s="572"/>
      <c r="R709" s="572"/>
      <c r="S709" s="572"/>
      <c r="T709" s="572"/>
      <c r="U709" s="572"/>
      <c r="V709" s="572"/>
      <c r="W709" s="572"/>
      <c r="X709" s="572"/>
      <c r="Y709" s="572"/>
      <c r="Z709" s="572"/>
    </row>
    <row r="710" spans="1:26" ht="18.75" hidden="1">
      <c r="A710" s="738"/>
      <c r="B710" s="757"/>
      <c r="C710" s="757"/>
      <c r="D710" s="757"/>
      <c r="E710" s="757"/>
      <c r="F710" s="757"/>
      <c r="G710" s="189"/>
      <c r="H710" s="758" t="s">
        <v>46</v>
      </c>
      <c r="I710" s="759"/>
      <c r="J710" s="215">
        <v>0</v>
      </c>
      <c r="K710" s="497"/>
      <c r="L710" s="760"/>
      <c r="M710" s="189"/>
      <c r="N710" s="760"/>
      <c r="O710" s="497"/>
      <c r="P710" s="497"/>
      <c r="Q710" s="572"/>
      <c r="R710" s="572"/>
      <c r="S710" s="572"/>
      <c r="T710" s="572"/>
      <c r="U710" s="572"/>
      <c r="V710" s="572"/>
      <c r="W710" s="572"/>
      <c r="X710" s="572"/>
      <c r="Y710" s="572"/>
      <c r="Z710" s="572"/>
    </row>
    <row r="711" spans="1:26" ht="18.75" hidden="1">
      <c r="A711" s="738"/>
      <c r="B711" s="757"/>
      <c r="C711" s="757"/>
      <c r="D711" s="757"/>
      <c r="E711" s="757" t="s">
        <v>301</v>
      </c>
      <c r="F711" s="757"/>
      <c r="G711" s="189"/>
      <c r="H711" s="756"/>
      <c r="I711" s="759"/>
      <c r="J711" s="270"/>
      <c r="K711" s="497"/>
      <c r="L711" s="760"/>
      <c r="M711" s="189"/>
      <c r="N711" s="760"/>
      <c r="O711" s="497"/>
      <c r="P711" s="497"/>
      <c r="Q711" s="572"/>
      <c r="R711" s="572"/>
      <c r="S711" s="572"/>
      <c r="T711" s="572"/>
      <c r="U711" s="572"/>
      <c r="V711" s="572"/>
      <c r="W711" s="572"/>
      <c r="X711" s="572"/>
      <c r="Y711" s="572"/>
      <c r="Z711" s="572"/>
    </row>
    <row r="712" spans="1:26" ht="18.75" hidden="1">
      <c r="A712" s="738"/>
      <c r="B712" s="757"/>
      <c r="C712" s="757"/>
      <c r="D712" s="757"/>
      <c r="E712" s="757"/>
      <c r="F712" s="757" t="s">
        <v>302</v>
      </c>
      <c r="G712" s="189"/>
      <c r="H712" s="758" t="s">
        <v>35</v>
      </c>
      <c r="I712" s="759"/>
      <c r="J712" s="215">
        <v>0</v>
      </c>
      <c r="K712" s="497"/>
      <c r="L712" s="760"/>
      <c r="M712" s="189"/>
      <c r="N712" s="760"/>
      <c r="O712" s="497"/>
      <c r="P712" s="497"/>
      <c r="Q712" s="572"/>
      <c r="R712" s="572"/>
      <c r="S712" s="572"/>
      <c r="T712" s="572"/>
      <c r="U712" s="572"/>
      <c r="V712" s="572"/>
      <c r="W712" s="572"/>
      <c r="X712" s="572"/>
      <c r="Y712" s="572"/>
      <c r="Z712" s="572"/>
    </row>
    <row r="713" spans="1:26" ht="18.75" hidden="1">
      <c r="A713" s="738"/>
      <c r="B713" s="757"/>
      <c r="C713" s="757"/>
      <c r="D713" s="757"/>
      <c r="E713" s="757"/>
      <c r="F713" s="757"/>
      <c r="G713" s="189"/>
      <c r="H713" s="758" t="s">
        <v>34</v>
      </c>
      <c r="I713" s="759"/>
      <c r="J713" s="215">
        <v>0</v>
      </c>
      <c r="K713" s="497"/>
      <c r="L713" s="760"/>
      <c r="M713" s="189"/>
      <c r="N713" s="760"/>
      <c r="O713" s="497"/>
      <c r="P713" s="497"/>
      <c r="Q713" s="572"/>
      <c r="R713" s="572"/>
      <c r="S713" s="572"/>
      <c r="T713" s="572"/>
      <c r="U713" s="572"/>
      <c r="V713" s="572"/>
      <c r="W713" s="572"/>
      <c r="X713" s="572"/>
      <c r="Y713" s="572"/>
      <c r="Z713" s="572"/>
    </row>
    <row r="714" spans="1:26" ht="18.75" hidden="1">
      <c r="A714" s="738"/>
      <c r="B714" s="757"/>
      <c r="C714" s="757"/>
      <c r="D714" s="757"/>
      <c r="E714" s="757"/>
      <c r="F714" s="757"/>
      <c r="G714" s="189"/>
      <c r="H714" s="758" t="s">
        <v>46</v>
      </c>
      <c r="I714" s="759"/>
      <c r="J714" s="215">
        <v>0</v>
      </c>
      <c r="K714" s="497"/>
      <c r="L714" s="760"/>
      <c r="M714" s="189"/>
      <c r="N714" s="760"/>
      <c r="O714" s="497"/>
      <c r="P714" s="497"/>
      <c r="Q714" s="572"/>
      <c r="R714" s="572"/>
      <c r="S714" s="572"/>
      <c r="T714" s="572"/>
      <c r="U714" s="572"/>
      <c r="V714" s="572"/>
      <c r="W714" s="572"/>
      <c r="X714" s="572"/>
      <c r="Y714" s="572"/>
      <c r="Z714" s="572"/>
    </row>
    <row r="715" spans="1:26" ht="18.75" hidden="1">
      <c r="A715" s="738"/>
      <c r="B715" s="757"/>
      <c r="C715" s="757"/>
      <c r="D715" s="757"/>
      <c r="E715" s="757"/>
      <c r="F715" s="757" t="s">
        <v>303</v>
      </c>
      <c r="G715" s="189"/>
      <c r="H715" s="758" t="s">
        <v>35</v>
      </c>
      <c r="I715" s="759"/>
      <c r="J715" s="215">
        <v>0</v>
      </c>
      <c r="K715" s="497"/>
      <c r="L715" s="760"/>
      <c r="M715" s="189"/>
      <c r="N715" s="760"/>
      <c r="O715" s="497"/>
      <c r="P715" s="497"/>
      <c r="Q715" s="572"/>
      <c r="R715" s="572"/>
      <c r="S715" s="572"/>
      <c r="T715" s="572"/>
      <c r="U715" s="572"/>
      <c r="V715" s="572"/>
      <c r="W715" s="572"/>
      <c r="X715" s="572"/>
      <c r="Y715" s="572"/>
      <c r="Z715" s="572"/>
    </row>
    <row r="716" spans="1:26" ht="18.75" hidden="1">
      <c r="A716" s="738"/>
      <c r="B716" s="757"/>
      <c r="C716" s="757"/>
      <c r="D716" s="757"/>
      <c r="E716" s="757"/>
      <c r="F716" s="757"/>
      <c r="G716" s="189"/>
      <c r="H716" s="758" t="s">
        <v>34</v>
      </c>
      <c r="I716" s="759"/>
      <c r="J716" s="215">
        <v>0</v>
      </c>
      <c r="K716" s="497"/>
      <c r="L716" s="760"/>
      <c r="M716" s="189"/>
      <c r="N716" s="760"/>
      <c r="O716" s="497"/>
      <c r="P716" s="497"/>
      <c r="Q716" s="572"/>
      <c r="R716" s="572"/>
      <c r="S716" s="572"/>
      <c r="T716" s="572"/>
      <c r="U716" s="572"/>
      <c r="V716" s="572"/>
      <c r="W716" s="572"/>
      <c r="X716" s="572"/>
      <c r="Y716" s="572"/>
      <c r="Z716" s="572"/>
    </row>
    <row r="717" spans="1:26" ht="18.75" hidden="1">
      <c r="A717" s="738"/>
      <c r="B717" s="757"/>
      <c r="C717" s="757"/>
      <c r="D717" s="757"/>
      <c r="E717" s="757"/>
      <c r="F717" s="757"/>
      <c r="G717" s="189"/>
      <c r="H717" s="758" t="s">
        <v>46</v>
      </c>
      <c r="I717" s="759"/>
      <c r="J717" s="215">
        <v>0</v>
      </c>
      <c r="K717" s="497"/>
      <c r="L717" s="760"/>
      <c r="M717" s="189"/>
      <c r="N717" s="760"/>
      <c r="O717" s="497"/>
      <c r="P717" s="497"/>
      <c r="Q717" s="572"/>
      <c r="R717" s="572"/>
      <c r="S717" s="572"/>
      <c r="T717" s="572"/>
      <c r="U717" s="572"/>
      <c r="V717" s="572"/>
      <c r="W717" s="572"/>
      <c r="X717" s="572"/>
      <c r="Y717" s="572"/>
      <c r="Z717" s="572"/>
    </row>
    <row r="718" spans="1:26" ht="18.75" hidden="1">
      <c r="A718" s="738"/>
      <c r="B718" s="757"/>
      <c r="C718" s="757"/>
      <c r="D718" s="757" t="s">
        <v>304</v>
      </c>
      <c r="E718" s="757"/>
      <c r="F718" s="757"/>
      <c r="G718" s="189"/>
      <c r="H718" s="758" t="s">
        <v>35</v>
      </c>
      <c r="I718" s="759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0"/>
      <c r="O718" s="497"/>
      <c r="P718" s="497"/>
      <c r="Q718" s="572"/>
      <c r="R718" s="572"/>
      <c r="S718" s="572"/>
      <c r="T718" s="572"/>
      <c r="U718" s="572"/>
      <c r="V718" s="572"/>
      <c r="W718" s="572"/>
      <c r="X718" s="572"/>
      <c r="Y718" s="572"/>
      <c r="Z718" s="572"/>
    </row>
    <row r="719" spans="1:26" ht="18.75" hidden="1">
      <c r="A719" s="738"/>
      <c r="B719" s="757"/>
      <c r="C719" s="757"/>
      <c r="D719" s="757"/>
      <c r="E719" s="757"/>
      <c r="F719" s="757"/>
      <c r="G719" s="189"/>
      <c r="H719" s="758" t="s">
        <v>34</v>
      </c>
      <c r="I719" s="759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0"/>
      <c r="M719" s="189"/>
      <c r="N719" s="760"/>
      <c r="O719" s="497"/>
      <c r="P719" s="497"/>
      <c r="Q719" s="572"/>
      <c r="R719" s="572"/>
      <c r="S719" s="572"/>
      <c r="T719" s="572"/>
      <c r="U719" s="572"/>
      <c r="V719" s="572"/>
      <c r="W719" s="572"/>
      <c r="X719" s="572"/>
      <c r="Y719" s="572"/>
      <c r="Z719" s="572"/>
    </row>
    <row r="720" spans="1:26" ht="18.75" hidden="1">
      <c r="A720" s="738"/>
      <c r="B720" s="757"/>
      <c r="C720" s="757"/>
      <c r="D720" s="757"/>
      <c r="E720" s="757"/>
      <c r="F720" s="757"/>
      <c r="G720" s="189"/>
      <c r="H720" s="758" t="s">
        <v>46</v>
      </c>
      <c r="I720" s="759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0"/>
      <c r="M720" s="189"/>
      <c r="N720" s="760"/>
      <c r="O720" s="497"/>
      <c r="P720" s="497"/>
      <c r="Q720" s="572"/>
      <c r="R720" s="572"/>
      <c r="S720" s="572"/>
      <c r="T720" s="572"/>
      <c r="U720" s="572"/>
      <c r="V720" s="572"/>
      <c r="W720" s="572"/>
      <c r="X720" s="572"/>
      <c r="Y720" s="572"/>
      <c r="Z720" s="572"/>
    </row>
    <row r="721" spans="1:26" ht="19.5" hidden="1">
      <c r="A721" s="738"/>
      <c r="B721" s="757"/>
      <c r="C721" s="757"/>
      <c r="D721" s="757" t="s">
        <v>305</v>
      </c>
      <c r="E721" s="757"/>
      <c r="F721" s="757"/>
      <c r="G721" s="189"/>
      <c r="H721" s="761" t="s">
        <v>35</v>
      </c>
      <c r="I721" s="762">
        <f ca="1">IFERROR(__xludf.DUMMYFUNCTION("IMPORTRANGE(""https://docs.google.com/spreadsheets/d/1QqKyyYR6Q21VydFLVH3TRQUabQu_ym0Zz7PgGX0-kHA/edit?usp=sharing"",""แผน!IJ39"")"),0)</f>
        <v>0</v>
      </c>
      <c r="J721" s="675">
        <f ca="1">J723+J726</f>
        <v>0</v>
      </c>
      <c r="K721" s="195">
        <f t="shared" ca="1" si="291"/>
        <v>0</v>
      </c>
      <c r="L721" s="760"/>
      <c r="M721" s="189"/>
      <c r="N721" s="760"/>
      <c r="O721" s="497"/>
      <c r="P721" s="497"/>
      <c r="Q721" s="572"/>
      <c r="R721" s="572"/>
      <c r="S721" s="572"/>
      <c r="T721" s="572"/>
      <c r="U721" s="572"/>
      <c r="V721" s="572"/>
      <c r="W721" s="572"/>
      <c r="X721" s="572"/>
      <c r="Y721" s="572"/>
      <c r="Z721" s="572"/>
    </row>
    <row r="722" spans="1:26" ht="19.5" hidden="1">
      <c r="A722" s="738"/>
      <c r="B722" s="757"/>
      <c r="C722" s="757"/>
      <c r="D722" s="757"/>
      <c r="E722" s="757"/>
      <c r="F722" s="757"/>
      <c r="G722" s="189"/>
      <c r="H722" s="761" t="s">
        <v>46</v>
      </c>
      <c r="I722" s="762">
        <f ca="1">IFERROR(__xludf.DUMMYFUNCTION("IMPORTRANGE(""https://docs.google.com/spreadsheets/d/1QqKyyYR6Q21VydFLVH3TRQUabQu_ym0Zz7PgGX0-kHA/edit?usp=sharing"",""แผน!IK39"")"),0)</f>
        <v>0</v>
      </c>
      <c r="J722" s="675">
        <f ca="1">J725+J728</f>
        <v>0</v>
      </c>
      <c r="K722" s="195">
        <f t="shared" ca="1" si="291"/>
        <v>0</v>
      </c>
      <c r="L722" s="497"/>
      <c r="M722" s="189"/>
      <c r="N722" s="760"/>
      <c r="O722" s="497"/>
      <c r="P722" s="497"/>
      <c r="Q722" s="572"/>
      <c r="R722" s="572"/>
      <c r="S722" s="572"/>
      <c r="T722" s="572"/>
      <c r="U722" s="572"/>
      <c r="V722" s="572"/>
      <c r="W722" s="572"/>
      <c r="X722" s="572"/>
      <c r="Y722" s="572"/>
      <c r="Z722" s="572"/>
    </row>
    <row r="723" spans="1:26" ht="18.75" hidden="1">
      <c r="A723" s="738"/>
      <c r="B723" s="757"/>
      <c r="C723" s="757"/>
      <c r="D723" s="757"/>
      <c r="E723" s="757" t="s">
        <v>306</v>
      </c>
      <c r="F723" s="757"/>
      <c r="G723" s="189"/>
      <c r="H723" s="758" t="s">
        <v>35</v>
      </c>
      <c r="I723" s="759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0"/>
      <c r="O723" s="497"/>
      <c r="P723" s="497"/>
      <c r="Q723" s="572"/>
      <c r="R723" s="572"/>
      <c r="S723" s="572"/>
      <c r="T723" s="572"/>
      <c r="U723" s="572"/>
      <c r="V723" s="572"/>
      <c r="W723" s="572"/>
      <c r="X723" s="572"/>
      <c r="Y723" s="572"/>
      <c r="Z723" s="572"/>
    </row>
    <row r="724" spans="1:26" ht="18.75" hidden="1">
      <c r="A724" s="738"/>
      <c r="B724" s="757"/>
      <c r="C724" s="757"/>
      <c r="D724" s="757"/>
      <c r="E724" s="757"/>
      <c r="F724" s="757"/>
      <c r="G724" s="189"/>
      <c r="H724" s="758" t="s">
        <v>34</v>
      </c>
      <c r="I724" s="759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0"/>
      <c r="M724" s="189"/>
      <c r="N724" s="760"/>
      <c r="O724" s="497"/>
      <c r="P724" s="497"/>
      <c r="Q724" s="572"/>
      <c r="R724" s="572"/>
      <c r="S724" s="572"/>
      <c r="T724" s="572"/>
      <c r="U724" s="572"/>
      <c r="V724" s="572"/>
      <c r="W724" s="572"/>
      <c r="X724" s="572"/>
      <c r="Y724" s="572"/>
      <c r="Z724" s="572"/>
    </row>
    <row r="725" spans="1:26" ht="18.75" hidden="1">
      <c r="A725" s="738"/>
      <c r="B725" s="757"/>
      <c r="C725" s="757"/>
      <c r="D725" s="757"/>
      <c r="E725" s="757"/>
      <c r="F725" s="757"/>
      <c r="G725" s="189"/>
      <c r="H725" s="758" t="s">
        <v>46</v>
      </c>
      <c r="I725" s="759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0"/>
      <c r="M725" s="189"/>
      <c r="N725" s="760"/>
      <c r="O725" s="497"/>
      <c r="P725" s="497"/>
      <c r="Q725" s="572"/>
      <c r="R725" s="572"/>
      <c r="S725" s="572"/>
      <c r="T725" s="572"/>
      <c r="U725" s="572"/>
      <c r="V725" s="572"/>
      <c r="W725" s="572"/>
      <c r="X725" s="572"/>
      <c r="Y725" s="572"/>
      <c r="Z725" s="572"/>
    </row>
    <row r="726" spans="1:26" ht="18.75" hidden="1">
      <c r="A726" s="738"/>
      <c r="B726" s="757"/>
      <c r="C726" s="757"/>
      <c r="D726" s="757"/>
      <c r="E726" s="757" t="s">
        <v>307</v>
      </c>
      <c r="F726" s="757"/>
      <c r="G726" s="189"/>
      <c r="H726" s="758" t="s">
        <v>35</v>
      </c>
      <c r="I726" s="759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0"/>
      <c r="O726" s="497"/>
      <c r="P726" s="497"/>
      <c r="Q726" s="572"/>
      <c r="R726" s="572"/>
      <c r="S726" s="572"/>
      <c r="T726" s="572"/>
      <c r="U726" s="572"/>
      <c r="V726" s="572"/>
      <c r="W726" s="572"/>
      <c r="X726" s="572"/>
      <c r="Y726" s="572"/>
      <c r="Z726" s="572"/>
    </row>
    <row r="727" spans="1:26" ht="18.75" hidden="1">
      <c r="A727" s="738"/>
      <c r="B727" s="757"/>
      <c r="C727" s="757"/>
      <c r="D727" s="757"/>
      <c r="E727" s="757"/>
      <c r="F727" s="757"/>
      <c r="G727" s="189"/>
      <c r="H727" s="758" t="s">
        <v>34</v>
      </c>
      <c r="I727" s="759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0"/>
      <c r="M727" s="189"/>
      <c r="N727" s="760"/>
      <c r="O727" s="497"/>
      <c r="P727" s="497"/>
      <c r="Q727" s="572"/>
      <c r="R727" s="572"/>
      <c r="S727" s="572"/>
      <c r="T727" s="572"/>
      <c r="U727" s="572"/>
      <c r="V727" s="572"/>
      <c r="W727" s="572"/>
      <c r="X727" s="572"/>
      <c r="Y727" s="572"/>
      <c r="Z727" s="572"/>
    </row>
    <row r="728" spans="1:26" ht="18.75" hidden="1">
      <c r="A728" s="738"/>
      <c r="B728" s="757"/>
      <c r="C728" s="757"/>
      <c r="D728" s="757"/>
      <c r="E728" s="757"/>
      <c r="F728" s="757"/>
      <c r="G728" s="189"/>
      <c r="H728" s="758" t="s">
        <v>46</v>
      </c>
      <c r="I728" s="759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0"/>
      <c r="M728" s="189"/>
      <c r="N728" s="760"/>
      <c r="O728" s="497"/>
      <c r="P728" s="497"/>
      <c r="Q728" s="572"/>
      <c r="R728" s="572"/>
      <c r="S728" s="572"/>
      <c r="T728" s="572"/>
      <c r="U728" s="572"/>
      <c r="V728" s="572"/>
      <c r="W728" s="572"/>
      <c r="X728" s="572"/>
      <c r="Y728" s="572"/>
      <c r="Z728" s="572"/>
    </row>
    <row r="729" spans="1:26" ht="19.5" hidden="1">
      <c r="A729" s="738"/>
      <c r="B729" s="757"/>
      <c r="C729" s="757"/>
      <c r="D729" s="757" t="s">
        <v>308</v>
      </c>
      <c r="E729" s="757"/>
      <c r="F729" s="757"/>
      <c r="G729" s="189"/>
      <c r="H729" s="761" t="s">
        <v>46</v>
      </c>
      <c r="I729" s="762">
        <f ca="1">IFERROR(__xludf.DUMMYFUNCTION("IMPORTRANGE(""https://docs.google.com/spreadsheets/d/1QqKyyYR6Q21VydFLVH3TRQUabQu_ym0Zz7PgGX0-kHA/edit?usp=sharing"",""แผน!IP39"")"),0)</f>
        <v>0</v>
      </c>
      <c r="J729" s="675">
        <f>J732+J735</f>
        <v>0</v>
      </c>
      <c r="K729" s="195">
        <f t="shared" ca="1" si="293"/>
        <v>0</v>
      </c>
      <c r="L729" s="497"/>
      <c r="M729" s="189"/>
      <c r="N729" s="760"/>
      <c r="O729" s="497"/>
      <c r="P729" s="497"/>
      <c r="Q729" s="572"/>
      <c r="R729" s="572"/>
      <c r="S729" s="572"/>
      <c r="T729" s="572"/>
      <c r="U729" s="572"/>
      <c r="V729" s="572"/>
      <c r="W729" s="572"/>
      <c r="X729" s="572"/>
      <c r="Y729" s="572"/>
      <c r="Z729" s="572"/>
    </row>
    <row r="730" spans="1:26" ht="18.75" hidden="1">
      <c r="A730" s="738"/>
      <c r="B730" s="757"/>
      <c r="C730" s="757"/>
      <c r="D730" s="757"/>
      <c r="E730" s="757" t="s">
        <v>309</v>
      </c>
      <c r="F730" s="757"/>
      <c r="G730" s="189"/>
      <c r="H730" s="758" t="s">
        <v>35</v>
      </c>
      <c r="I730" s="759"/>
      <c r="J730" s="215">
        <v>0</v>
      </c>
      <c r="K730" s="497"/>
      <c r="L730" s="760"/>
      <c r="M730" s="497"/>
      <c r="N730" s="760"/>
      <c r="O730" s="497"/>
      <c r="P730" s="497"/>
      <c r="Q730" s="572"/>
      <c r="R730" s="572"/>
      <c r="S730" s="572"/>
      <c r="T730" s="572"/>
      <c r="U730" s="572"/>
      <c r="V730" s="572"/>
      <c r="W730" s="572"/>
      <c r="X730" s="572"/>
      <c r="Y730" s="572"/>
      <c r="Z730" s="572"/>
    </row>
    <row r="731" spans="1:26" ht="18.75" hidden="1">
      <c r="A731" s="738"/>
      <c r="B731" s="757"/>
      <c r="C731" s="757"/>
      <c r="D731" s="757"/>
      <c r="E731" s="757"/>
      <c r="F731" s="757"/>
      <c r="G731" s="189"/>
      <c r="H731" s="758" t="s">
        <v>34</v>
      </c>
      <c r="I731" s="759"/>
      <c r="J731" s="215">
        <v>0</v>
      </c>
      <c r="K731" s="497"/>
      <c r="L731" s="760"/>
      <c r="M731" s="497"/>
      <c r="N731" s="760"/>
      <c r="O731" s="497"/>
      <c r="P731" s="497"/>
      <c r="Q731" s="572"/>
      <c r="R731" s="572"/>
      <c r="S731" s="572"/>
      <c r="T731" s="572"/>
      <c r="U731" s="572"/>
      <c r="V731" s="572"/>
      <c r="W731" s="572"/>
      <c r="X731" s="572"/>
      <c r="Y731" s="572"/>
      <c r="Z731" s="572"/>
    </row>
    <row r="732" spans="1:26" ht="18.75" hidden="1">
      <c r="A732" s="738"/>
      <c r="B732" s="757"/>
      <c r="C732" s="757"/>
      <c r="D732" s="757"/>
      <c r="E732" s="757"/>
      <c r="F732" s="757"/>
      <c r="G732" s="189"/>
      <c r="H732" s="758" t="s">
        <v>46</v>
      </c>
      <c r="I732" s="759"/>
      <c r="J732" s="215">
        <v>0</v>
      </c>
      <c r="K732" s="497"/>
      <c r="L732" s="760"/>
      <c r="M732" s="497"/>
      <c r="N732" s="760"/>
      <c r="O732" s="497"/>
      <c r="P732" s="497"/>
      <c r="Q732" s="572"/>
      <c r="R732" s="572"/>
      <c r="S732" s="572"/>
      <c r="T732" s="572"/>
      <c r="U732" s="572"/>
      <c r="V732" s="572"/>
      <c r="W732" s="572"/>
      <c r="X732" s="572"/>
      <c r="Y732" s="572"/>
      <c r="Z732" s="572"/>
    </row>
    <row r="733" spans="1:26" ht="18.75" hidden="1">
      <c r="A733" s="738"/>
      <c r="B733" s="757"/>
      <c r="C733" s="757"/>
      <c r="D733" s="757"/>
      <c r="E733" s="757" t="s">
        <v>310</v>
      </c>
      <c r="F733" s="757"/>
      <c r="G733" s="189"/>
      <c r="H733" s="758" t="s">
        <v>35</v>
      </c>
      <c r="I733" s="759"/>
      <c r="J733" s="215">
        <v>0</v>
      </c>
      <c r="K733" s="497"/>
      <c r="L733" s="760"/>
      <c r="M733" s="497"/>
      <c r="N733" s="760"/>
      <c r="O733" s="497"/>
      <c r="P733" s="497"/>
      <c r="Q733" s="572"/>
      <c r="R733" s="572"/>
      <c r="S733" s="572"/>
      <c r="T733" s="572"/>
      <c r="U733" s="572"/>
      <c r="V733" s="572"/>
      <c r="W733" s="572"/>
      <c r="X733" s="572"/>
      <c r="Y733" s="572"/>
      <c r="Z733" s="572"/>
    </row>
    <row r="734" spans="1:26" ht="18.75" hidden="1">
      <c r="A734" s="738"/>
      <c r="B734" s="757"/>
      <c r="C734" s="757"/>
      <c r="D734" s="757"/>
      <c r="E734" s="757"/>
      <c r="F734" s="757"/>
      <c r="G734" s="189"/>
      <c r="H734" s="758" t="s">
        <v>34</v>
      </c>
      <c r="I734" s="759"/>
      <c r="J734" s="215">
        <v>0</v>
      </c>
      <c r="K734" s="497"/>
      <c r="L734" s="760"/>
      <c r="M734" s="497"/>
      <c r="N734" s="760"/>
      <c r="O734" s="497"/>
      <c r="P734" s="497"/>
      <c r="Q734" s="572"/>
      <c r="R734" s="572"/>
      <c r="S734" s="572"/>
      <c r="T734" s="572"/>
      <c r="U734" s="572"/>
      <c r="V734" s="572"/>
      <c r="W734" s="572"/>
      <c r="X734" s="572"/>
      <c r="Y734" s="572"/>
      <c r="Z734" s="572"/>
    </row>
    <row r="735" spans="1:26" ht="19.5" hidden="1">
      <c r="A735" s="764"/>
      <c r="B735" s="765" t="s">
        <v>311</v>
      </c>
      <c r="C735" s="728"/>
      <c r="D735" s="728"/>
      <c r="E735" s="728"/>
      <c r="F735" s="728"/>
      <c r="G735" s="729"/>
      <c r="H735" s="422" t="s">
        <v>46</v>
      </c>
      <c r="I735" s="766"/>
      <c r="J735" s="424">
        <v>0</v>
      </c>
      <c r="K735" s="501"/>
      <c r="L735" s="767"/>
      <c r="M735" s="501"/>
      <c r="N735" s="767"/>
      <c r="O735" s="501"/>
      <c r="P735" s="501"/>
      <c r="Q735" s="572"/>
      <c r="R735" s="572"/>
      <c r="S735" s="572"/>
      <c r="T735" s="572"/>
      <c r="U735" s="572"/>
      <c r="V735" s="572"/>
      <c r="W735" s="572"/>
      <c r="X735" s="572"/>
      <c r="Y735" s="572"/>
      <c r="Z735" s="572"/>
    </row>
    <row r="736" spans="1:26" ht="19.5" hidden="1">
      <c r="A736" s="768">
        <v>9</v>
      </c>
      <c r="B736" s="769" t="s">
        <v>312</v>
      </c>
      <c r="C736" s="770"/>
      <c r="D736" s="770"/>
      <c r="E736" s="770"/>
      <c r="F736" s="770"/>
      <c r="G736" s="771"/>
      <c r="H736" s="772" t="s">
        <v>46</v>
      </c>
      <c r="I736" s="773"/>
      <c r="J736" s="773">
        <f>J751</f>
        <v>0</v>
      </c>
      <c r="K736" s="774">
        <f>IF(I736&gt;0,J736*100/I736,0)</f>
        <v>0</v>
      </c>
      <c r="L736" s="775"/>
      <c r="M736" s="775"/>
      <c r="N736" s="775"/>
      <c r="O736" s="775"/>
      <c r="P736" s="775"/>
      <c r="Q736" s="598"/>
      <c r="R736" s="598"/>
      <c r="S736" s="598"/>
      <c r="T736" s="598"/>
      <c r="U736" s="598"/>
      <c r="V736" s="598"/>
      <c r="W736" s="598"/>
      <c r="X736" s="598"/>
      <c r="Y736" s="598"/>
      <c r="Z736" s="598"/>
    </row>
    <row r="737" spans="1:26" ht="19.5" hidden="1">
      <c r="A737" s="593"/>
      <c r="B737" s="753"/>
      <c r="C737" s="753" t="s">
        <v>16</v>
      </c>
      <c r="D737" s="892" t="s">
        <v>17</v>
      </c>
      <c r="E737" s="888"/>
      <c r="F737" s="888"/>
      <c r="G737" s="597"/>
      <c r="H737" s="640" t="s">
        <v>12</v>
      </c>
      <c r="I737" s="611"/>
      <c r="J737" s="611"/>
      <c r="K737" s="93"/>
      <c r="L737" s="641">
        <f t="shared" ref="L737:N737" si="294">L738+L739</f>
        <v>0</v>
      </c>
      <c r="M737" s="641">
        <f t="shared" si="294"/>
        <v>0</v>
      </c>
      <c r="N737" s="641">
        <f t="shared" si="294"/>
        <v>0</v>
      </c>
      <c r="O737" s="641">
        <f t="shared" ref="O737:O742" si="295">IF(L737&gt;0,N737*100/L737,0)</f>
        <v>0</v>
      </c>
      <c r="P737" s="641">
        <f t="shared" ref="P737:P742" si="296">IF(M737&gt;0,N737*100/M737,0)</f>
        <v>0</v>
      </c>
      <c r="Q737" s="598"/>
      <c r="R737" s="598"/>
      <c r="S737" s="598"/>
      <c r="T737" s="598"/>
      <c r="U737" s="598"/>
      <c r="V737" s="598"/>
      <c r="W737" s="598"/>
      <c r="X737" s="598"/>
      <c r="Y737" s="598"/>
      <c r="Z737" s="598"/>
    </row>
    <row r="738" spans="1:26" ht="18.75" hidden="1">
      <c r="A738" s="593"/>
      <c r="B738" s="753"/>
      <c r="C738" s="753"/>
      <c r="D738" s="714"/>
      <c r="E738" s="753" t="s">
        <v>184</v>
      </c>
      <c r="F738" s="753"/>
      <c r="G738" s="597"/>
      <c r="H738" s="165" t="s">
        <v>12</v>
      </c>
      <c r="I738" s="611"/>
      <c r="J738" s="611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598"/>
      <c r="R738" s="598"/>
      <c r="S738" s="598"/>
      <c r="T738" s="598"/>
      <c r="U738" s="598"/>
      <c r="V738" s="598"/>
      <c r="W738" s="598"/>
      <c r="X738" s="598"/>
      <c r="Y738" s="598"/>
      <c r="Z738" s="598"/>
    </row>
    <row r="739" spans="1:26" ht="18.75" hidden="1">
      <c r="A739" s="593"/>
      <c r="B739" s="601"/>
      <c r="C739" s="753"/>
      <c r="D739" s="714"/>
      <c r="E739" s="753" t="s">
        <v>185</v>
      </c>
      <c r="F739" s="753"/>
      <c r="G739" s="597"/>
      <c r="H739" s="165" t="s">
        <v>12</v>
      </c>
      <c r="I739" s="611"/>
      <c r="J739" s="611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598"/>
      <c r="R739" s="598"/>
      <c r="S739" s="598"/>
      <c r="T739" s="598"/>
      <c r="U739" s="598"/>
      <c r="V739" s="598"/>
      <c r="W739" s="598"/>
      <c r="X739" s="598"/>
      <c r="Y739" s="598"/>
      <c r="Z739" s="598"/>
    </row>
    <row r="740" spans="1:26" ht="19.5" hidden="1">
      <c r="A740" s="593"/>
      <c r="B740" s="601"/>
      <c r="C740" s="753"/>
      <c r="D740" s="639" t="s">
        <v>20</v>
      </c>
      <c r="E740" s="753"/>
      <c r="F740" s="753"/>
      <c r="G740" s="597"/>
      <c r="H740" s="640" t="s">
        <v>12</v>
      </c>
      <c r="I740" s="166"/>
      <c r="J740" s="166"/>
      <c r="K740" s="167"/>
      <c r="L740" s="641">
        <f t="shared" ref="L740:N740" si="298">L741+L742</f>
        <v>0</v>
      </c>
      <c r="M740" s="641">
        <f t="shared" si="298"/>
        <v>0</v>
      </c>
      <c r="N740" s="641">
        <f t="shared" si="298"/>
        <v>0</v>
      </c>
      <c r="O740" s="641">
        <f t="shared" si="295"/>
        <v>0</v>
      </c>
      <c r="P740" s="641">
        <f t="shared" si="296"/>
        <v>0</v>
      </c>
      <c r="Q740" s="598"/>
      <c r="R740" s="598"/>
      <c r="S740" s="598"/>
      <c r="T740" s="598"/>
      <c r="U740" s="598"/>
      <c r="V740" s="598"/>
      <c r="W740" s="598"/>
      <c r="X740" s="598"/>
      <c r="Y740" s="598"/>
      <c r="Z740" s="598"/>
    </row>
    <row r="741" spans="1:26" ht="18.75" hidden="1">
      <c r="A741" s="593"/>
      <c r="B741" s="601"/>
      <c r="C741" s="753"/>
      <c r="D741" s="714"/>
      <c r="E741" s="753" t="s">
        <v>184</v>
      </c>
      <c r="F741" s="753"/>
      <c r="G741" s="597"/>
      <c r="H741" s="165" t="s">
        <v>12</v>
      </c>
      <c r="I741" s="611"/>
      <c r="J741" s="611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598"/>
      <c r="R741" s="598"/>
      <c r="S741" s="598"/>
      <c r="T741" s="598"/>
      <c r="U741" s="598"/>
      <c r="V741" s="598"/>
      <c r="W741" s="598"/>
      <c r="X741" s="598"/>
      <c r="Y741" s="598"/>
      <c r="Z741" s="598"/>
    </row>
    <row r="742" spans="1:26" ht="18.75" hidden="1">
      <c r="A742" s="593"/>
      <c r="B742" s="601"/>
      <c r="C742" s="753"/>
      <c r="D742" s="714"/>
      <c r="E742" s="753" t="s">
        <v>185</v>
      </c>
      <c r="F742" s="753"/>
      <c r="G742" s="597"/>
      <c r="H742" s="165" t="s">
        <v>12</v>
      </c>
      <c r="I742" s="611"/>
      <c r="J742" s="611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598"/>
      <c r="R742" s="598"/>
      <c r="S742" s="598"/>
      <c r="T742" s="598"/>
      <c r="U742" s="598"/>
      <c r="V742" s="598"/>
      <c r="W742" s="598"/>
      <c r="X742" s="598"/>
      <c r="Y742" s="598"/>
      <c r="Z742" s="598"/>
    </row>
    <row r="743" spans="1:26" ht="18.75" hidden="1">
      <c r="A743" s="643"/>
      <c r="B743" s="601"/>
      <c r="C743" s="753"/>
      <c r="D743" s="753"/>
      <c r="E743" s="753"/>
      <c r="F743" s="753" t="s">
        <v>186</v>
      </c>
      <c r="G743" s="597"/>
      <c r="H743" s="165" t="s">
        <v>12</v>
      </c>
      <c r="I743" s="611"/>
      <c r="J743" s="611"/>
      <c r="K743" s="93"/>
      <c r="L743" s="93"/>
      <c r="M743" s="93"/>
      <c r="N743" s="93"/>
      <c r="O743" s="93"/>
      <c r="P743" s="93"/>
      <c r="Q743" s="598"/>
      <c r="R743" s="598"/>
      <c r="S743" s="598"/>
      <c r="T743" s="598"/>
      <c r="U743" s="598"/>
      <c r="V743" s="598"/>
      <c r="W743" s="598"/>
      <c r="X743" s="598"/>
      <c r="Y743" s="598"/>
      <c r="Z743" s="598"/>
    </row>
    <row r="744" spans="1:26" ht="18.75" hidden="1">
      <c r="A744" s="643"/>
      <c r="B744" s="601"/>
      <c r="C744" s="753"/>
      <c r="D744" s="753"/>
      <c r="E744" s="753"/>
      <c r="F744" s="753" t="s">
        <v>187</v>
      </c>
      <c r="G744" s="597"/>
      <c r="H744" s="165" t="s">
        <v>12</v>
      </c>
      <c r="I744" s="611"/>
      <c r="J744" s="611"/>
      <c r="K744" s="93"/>
      <c r="L744" s="93"/>
      <c r="M744" s="93"/>
      <c r="N744" s="93"/>
      <c r="O744" s="93"/>
      <c r="P744" s="93"/>
      <c r="Q744" s="598"/>
      <c r="R744" s="598"/>
      <c r="S744" s="598"/>
      <c r="T744" s="598"/>
      <c r="U744" s="598"/>
      <c r="V744" s="598"/>
      <c r="W744" s="598"/>
      <c r="X744" s="598"/>
      <c r="Y744" s="598"/>
      <c r="Z744" s="598"/>
    </row>
    <row r="745" spans="1:26" ht="18.75" hidden="1">
      <c r="A745" s="643"/>
      <c r="B745" s="601"/>
      <c r="C745" s="753"/>
      <c r="D745" s="753"/>
      <c r="E745" s="753"/>
      <c r="F745" s="753" t="s">
        <v>188</v>
      </c>
      <c r="G745" s="597"/>
      <c r="H745" s="165" t="s">
        <v>12</v>
      </c>
      <c r="I745" s="611"/>
      <c r="J745" s="611"/>
      <c r="K745" s="93"/>
      <c r="L745" s="93"/>
      <c r="M745" s="93"/>
      <c r="N745" s="93"/>
      <c r="O745" s="93"/>
      <c r="P745" s="93"/>
      <c r="Q745" s="598"/>
      <c r="R745" s="598"/>
      <c r="S745" s="598"/>
      <c r="T745" s="598"/>
      <c r="U745" s="598"/>
      <c r="V745" s="598"/>
      <c r="W745" s="598"/>
      <c r="X745" s="598"/>
      <c r="Y745" s="598"/>
      <c r="Z745" s="598"/>
    </row>
    <row r="746" spans="1:26" ht="18.75" hidden="1">
      <c r="A746" s="643"/>
      <c r="B746" s="601"/>
      <c r="C746" s="753"/>
      <c r="D746" s="753"/>
      <c r="E746" s="753"/>
      <c r="F746" s="753" t="s">
        <v>189</v>
      </c>
      <c r="G746" s="597"/>
      <c r="H746" s="165" t="s">
        <v>12</v>
      </c>
      <c r="I746" s="611"/>
      <c r="J746" s="611"/>
      <c r="K746" s="93"/>
      <c r="L746" s="93"/>
      <c r="M746" s="93"/>
      <c r="N746" s="93"/>
      <c r="O746" s="93"/>
      <c r="P746" s="93"/>
      <c r="Q746" s="598"/>
      <c r="R746" s="598"/>
      <c r="S746" s="598"/>
      <c r="T746" s="598"/>
      <c r="U746" s="598"/>
      <c r="V746" s="598"/>
      <c r="W746" s="598"/>
      <c r="X746" s="598"/>
      <c r="Y746" s="598"/>
      <c r="Z746" s="598"/>
    </row>
    <row r="747" spans="1:26" ht="19.5" hidden="1">
      <c r="A747" s="593"/>
      <c r="B747" s="601"/>
      <c r="C747" s="753"/>
      <c r="D747" s="639" t="s">
        <v>21</v>
      </c>
      <c r="E747" s="753"/>
      <c r="F747" s="753"/>
      <c r="G747" s="597"/>
      <c r="H747" s="777" t="s">
        <v>12</v>
      </c>
      <c r="I747" s="166"/>
      <c r="J747" s="166"/>
      <c r="K747" s="167"/>
      <c r="L747" s="641">
        <f t="shared" ref="L747:N747" si="299">L748+L749</f>
        <v>0</v>
      </c>
      <c r="M747" s="641">
        <f t="shared" si="299"/>
        <v>0</v>
      </c>
      <c r="N747" s="641">
        <f t="shared" si="299"/>
        <v>0</v>
      </c>
      <c r="O747" s="641">
        <f t="shared" ref="O747:O749" si="300">IF(L747&gt;0,N747*100/L747,0)</f>
        <v>0</v>
      </c>
      <c r="P747" s="641">
        <f t="shared" ref="P747:P749" si="301">IF(M747&gt;0,N747*100/M747,0)</f>
        <v>0</v>
      </c>
      <c r="Q747" s="598"/>
      <c r="R747" s="598"/>
      <c r="S747" s="598"/>
      <c r="T747" s="598"/>
      <c r="U747" s="598"/>
      <c r="V747" s="598"/>
      <c r="W747" s="598"/>
      <c r="X747" s="598"/>
      <c r="Y747" s="598"/>
      <c r="Z747" s="598"/>
    </row>
    <row r="748" spans="1:26" ht="18.75" hidden="1">
      <c r="A748" s="593"/>
      <c r="B748" s="601"/>
      <c r="C748" s="753"/>
      <c r="D748" s="753"/>
      <c r="E748" s="753" t="s">
        <v>18</v>
      </c>
      <c r="F748" s="753"/>
      <c r="G748" s="597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598"/>
      <c r="R748" s="598"/>
      <c r="S748" s="598"/>
      <c r="T748" s="598"/>
      <c r="U748" s="598"/>
      <c r="V748" s="598"/>
      <c r="W748" s="598"/>
      <c r="X748" s="598"/>
      <c r="Y748" s="598"/>
      <c r="Z748" s="598"/>
    </row>
    <row r="749" spans="1:26" ht="18.75" hidden="1">
      <c r="A749" s="593"/>
      <c r="B749" s="601"/>
      <c r="C749" s="753"/>
      <c r="D749" s="753"/>
      <c r="E749" s="753" t="s">
        <v>19</v>
      </c>
      <c r="F749" s="753"/>
      <c r="G749" s="597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598"/>
      <c r="R749" s="598"/>
      <c r="S749" s="598"/>
      <c r="T749" s="598"/>
      <c r="U749" s="598"/>
      <c r="V749" s="598"/>
      <c r="W749" s="598"/>
      <c r="X749" s="598"/>
      <c r="Y749" s="598"/>
      <c r="Z749" s="598"/>
    </row>
    <row r="750" spans="1:26" ht="19.5" hidden="1">
      <c r="A750" s="608"/>
      <c r="B750" s="610"/>
      <c r="C750" s="753" t="s">
        <v>16</v>
      </c>
      <c r="D750" s="865" t="s">
        <v>38</v>
      </c>
      <c r="E750" s="645"/>
      <c r="F750" s="645"/>
      <c r="G750" s="646"/>
      <c r="H750" s="366"/>
      <c r="I750" s="166"/>
      <c r="J750" s="166"/>
      <c r="K750" s="167"/>
      <c r="L750" s="167"/>
      <c r="M750" s="167"/>
      <c r="N750" s="167"/>
      <c r="O750" s="167"/>
      <c r="P750" s="167"/>
      <c r="Q750" s="598"/>
      <c r="R750" s="598"/>
      <c r="S750" s="598"/>
      <c r="T750" s="598"/>
      <c r="U750" s="598"/>
      <c r="V750" s="598"/>
      <c r="W750" s="598"/>
      <c r="X750" s="598"/>
      <c r="Y750" s="598"/>
      <c r="Z750" s="598"/>
    </row>
    <row r="751" spans="1:26" ht="18.75" hidden="1">
      <c r="A751" s="643"/>
      <c r="B751" s="601"/>
      <c r="C751" s="753"/>
      <c r="D751" s="753"/>
      <c r="E751" s="753" t="s">
        <v>313</v>
      </c>
      <c r="F751" s="753"/>
      <c r="G751" s="597"/>
      <c r="H751" s="165" t="s">
        <v>46</v>
      </c>
      <c r="I751" s="611"/>
      <c r="J751" s="611"/>
      <c r="K751" s="93"/>
      <c r="L751" s="93"/>
      <c r="M751" s="93"/>
      <c r="N751" s="93"/>
      <c r="O751" s="93"/>
      <c r="P751" s="93"/>
      <c r="Q751" s="598"/>
      <c r="R751" s="598"/>
      <c r="S751" s="598"/>
      <c r="T751" s="598"/>
      <c r="U751" s="598"/>
      <c r="V751" s="598"/>
      <c r="W751" s="598"/>
      <c r="X751" s="598"/>
      <c r="Y751" s="598"/>
      <c r="Z751" s="598"/>
    </row>
    <row r="752" spans="1:26" ht="18.75" hidden="1">
      <c r="A752" s="643"/>
      <c r="B752" s="601"/>
      <c r="C752" s="753"/>
      <c r="D752" s="753"/>
      <c r="E752" s="753"/>
      <c r="F752" s="753"/>
      <c r="G752" s="597"/>
      <c r="H752" s="165" t="s">
        <v>314</v>
      </c>
      <c r="I752" s="611"/>
      <c r="J752" s="611"/>
      <c r="K752" s="93"/>
      <c r="L752" s="93"/>
      <c r="M752" s="93"/>
      <c r="N752" s="93"/>
      <c r="O752" s="93"/>
      <c r="P752" s="93"/>
      <c r="Q752" s="598"/>
      <c r="R752" s="598"/>
      <c r="S752" s="598"/>
      <c r="T752" s="598"/>
      <c r="U752" s="598"/>
      <c r="V752" s="598"/>
      <c r="W752" s="598"/>
      <c r="X752" s="598"/>
      <c r="Y752" s="598"/>
      <c r="Z752" s="598"/>
    </row>
    <row r="753" spans="1:26" ht="19.5" hidden="1">
      <c r="A753" s="779">
        <v>10</v>
      </c>
      <c r="B753" s="780" t="s">
        <v>315</v>
      </c>
      <c r="C753" s="781"/>
      <c r="D753" s="781"/>
      <c r="E753" s="781"/>
      <c r="F753" s="781"/>
      <c r="G753" s="782"/>
      <c r="H753" s="783" t="s">
        <v>46</v>
      </c>
      <c r="I753" s="784"/>
      <c r="J753" s="784">
        <f>J768</f>
        <v>0</v>
      </c>
      <c r="K753" s="785">
        <f>IF(I753&gt;0,J753*100/I753,0)</f>
        <v>0</v>
      </c>
      <c r="L753" s="786"/>
      <c r="M753" s="786"/>
      <c r="N753" s="786"/>
      <c r="O753" s="786"/>
      <c r="P753" s="786"/>
      <c r="Q753" s="598"/>
      <c r="R753" s="598"/>
      <c r="S753" s="598"/>
      <c r="T753" s="598"/>
      <c r="U753" s="598"/>
      <c r="V753" s="598"/>
      <c r="W753" s="598"/>
      <c r="X753" s="598"/>
      <c r="Y753" s="598"/>
      <c r="Z753" s="598"/>
    </row>
    <row r="754" spans="1:26" ht="19.5" hidden="1">
      <c r="A754" s="593"/>
      <c r="B754" s="753"/>
      <c r="C754" s="753" t="s">
        <v>16</v>
      </c>
      <c r="D754" s="892" t="s">
        <v>17</v>
      </c>
      <c r="E754" s="888"/>
      <c r="F754" s="888"/>
      <c r="G754" s="597"/>
      <c r="H754" s="640" t="s">
        <v>12</v>
      </c>
      <c r="I754" s="611"/>
      <c r="J754" s="611"/>
      <c r="K754" s="93"/>
      <c r="L754" s="641">
        <f t="shared" ref="L754:N754" si="302">L755+L756</f>
        <v>0</v>
      </c>
      <c r="M754" s="641">
        <f t="shared" si="302"/>
        <v>0</v>
      </c>
      <c r="N754" s="641">
        <f t="shared" si="302"/>
        <v>0</v>
      </c>
      <c r="O754" s="641">
        <f t="shared" ref="O754:O759" si="303">IF(L754&gt;0,N754*100/L754,0)</f>
        <v>0</v>
      </c>
      <c r="P754" s="641">
        <f t="shared" ref="P754:P759" si="304">IF(M754&gt;0,N754*100/M754,0)</f>
        <v>0</v>
      </c>
      <c r="Q754" s="598"/>
      <c r="R754" s="598"/>
      <c r="S754" s="598"/>
      <c r="T754" s="598"/>
      <c r="U754" s="598"/>
      <c r="V754" s="598"/>
      <c r="W754" s="598"/>
      <c r="X754" s="598"/>
      <c r="Y754" s="598"/>
      <c r="Z754" s="598"/>
    </row>
    <row r="755" spans="1:26" ht="18.75" hidden="1">
      <c r="A755" s="593"/>
      <c r="B755" s="753"/>
      <c r="C755" s="753"/>
      <c r="D755" s="714"/>
      <c r="E755" s="753" t="s">
        <v>184</v>
      </c>
      <c r="F755" s="753"/>
      <c r="G755" s="597"/>
      <c r="H755" s="165" t="s">
        <v>12</v>
      </c>
      <c r="I755" s="611"/>
      <c r="J755" s="611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598"/>
      <c r="R755" s="598"/>
      <c r="S755" s="598"/>
      <c r="T755" s="598"/>
      <c r="U755" s="598"/>
      <c r="V755" s="598"/>
      <c r="W755" s="598"/>
      <c r="X755" s="598"/>
      <c r="Y755" s="598"/>
      <c r="Z755" s="598"/>
    </row>
    <row r="756" spans="1:26" ht="18.75" hidden="1">
      <c r="A756" s="593"/>
      <c r="B756" s="601"/>
      <c r="C756" s="753"/>
      <c r="D756" s="714"/>
      <c r="E756" s="753" t="s">
        <v>185</v>
      </c>
      <c r="F756" s="753"/>
      <c r="G756" s="597"/>
      <c r="H756" s="165" t="s">
        <v>12</v>
      </c>
      <c r="I756" s="611"/>
      <c r="J756" s="611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598"/>
      <c r="R756" s="598"/>
      <c r="S756" s="598"/>
      <c r="T756" s="598"/>
      <c r="U756" s="598"/>
      <c r="V756" s="598"/>
      <c r="W756" s="598"/>
      <c r="X756" s="598"/>
      <c r="Y756" s="598"/>
      <c r="Z756" s="598"/>
    </row>
    <row r="757" spans="1:26" ht="19.5" hidden="1">
      <c r="A757" s="593"/>
      <c r="B757" s="601"/>
      <c r="C757" s="753"/>
      <c r="D757" s="639" t="s">
        <v>20</v>
      </c>
      <c r="E757" s="753"/>
      <c r="F757" s="753"/>
      <c r="G757" s="597"/>
      <c r="H757" s="640" t="s">
        <v>12</v>
      </c>
      <c r="I757" s="166"/>
      <c r="J757" s="166"/>
      <c r="K757" s="167"/>
      <c r="L757" s="641">
        <f t="shared" ref="L757:N757" si="306">L758+L759</f>
        <v>0</v>
      </c>
      <c r="M757" s="641">
        <f t="shared" si="306"/>
        <v>0</v>
      </c>
      <c r="N757" s="641">
        <f t="shared" si="306"/>
        <v>0</v>
      </c>
      <c r="O757" s="641">
        <f t="shared" si="303"/>
        <v>0</v>
      </c>
      <c r="P757" s="641">
        <f t="shared" si="304"/>
        <v>0</v>
      </c>
      <c r="Q757" s="598"/>
      <c r="R757" s="598"/>
      <c r="S757" s="598"/>
      <c r="T757" s="598"/>
      <c r="U757" s="598"/>
      <c r="V757" s="598"/>
      <c r="W757" s="598"/>
      <c r="X757" s="598"/>
      <c r="Y757" s="598"/>
      <c r="Z757" s="598"/>
    </row>
    <row r="758" spans="1:26" ht="18.75" hidden="1">
      <c r="A758" s="593"/>
      <c r="B758" s="601"/>
      <c r="C758" s="753"/>
      <c r="D758" s="714"/>
      <c r="E758" s="753" t="s">
        <v>184</v>
      </c>
      <c r="F758" s="753"/>
      <c r="G758" s="597"/>
      <c r="H758" s="165" t="s">
        <v>12</v>
      </c>
      <c r="I758" s="611"/>
      <c r="J758" s="611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598"/>
      <c r="R758" s="598"/>
      <c r="S758" s="598"/>
      <c r="T758" s="598"/>
      <c r="U758" s="598"/>
      <c r="V758" s="598"/>
      <c r="W758" s="598"/>
      <c r="X758" s="598"/>
      <c r="Y758" s="598"/>
      <c r="Z758" s="598"/>
    </row>
    <row r="759" spans="1:26" ht="18.75" hidden="1">
      <c r="A759" s="593"/>
      <c r="B759" s="601"/>
      <c r="C759" s="753"/>
      <c r="D759" s="714"/>
      <c r="E759" s="753" t="s">
        <v>185</v>
      </c>
      <c r="F759" s="753"/>
      <c r="G759" s="597"/>
      <c r="H759" s="165" t="s">
        <v>12</v>
      </c>
      <c r="I759" s="611"/>
      <c r="J759" s="611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598"/>
      <c r="R759" s="598"/>
      <c r="S759" s="598"/>
      <c r="T759" s="598"/>
      <c r="U759" s="598"/>
      <c r="V759" s="598"/>
      <c r="W759" s="598"/>
      <c r="X759" s="598"/>
      <c r="Y759" s="598"/>
      <c r="Z759" s="598"/>
    </row>
    <row r="760" spans="1:26" ht="18.75" hidden="1">
      <c r="A760" s="643"/>
      <c r="B760" s="601"/>
      <c r="C760" s="753"/>
      <c r="D760" s="753"/>
      <c r="E760" s="753"/>
      <c r="F760" s="753" t="s">
        <v>186</v>
      </c>
      <c r="G760" s="597"/>
      <c r="H760" s="165" t="s">
        <v>12</v>
      </c>
      <c r="I760" s="611"/>
      <c r="J760" s="611"/>
      <c r="K760" s="93"/>
      <c r="L760" s="93"/>
      <c r="M760" s="93"/>
      <c r="N760" s="93"/>
      <c r="O760" s="93"/>
      <c r="P760" s="93"/>
      <c r="Q760" s="598"/>
      <c r="R760" s="598"/>
      <c r="S760" s="598"/>
      <c r="T760" s="598"/>
      <c r="U760" s="598"/>
      <c r="V760" s="598"/>
      <c r="W760" s="598"/>
      <c r="X760" s="598"/>
      <c r="Y760" s="598"/>
      <c r="Z760" s="598"/>
    </row>
    <row r="761" spans="1:26" ht="18.75" hidden="1">
      <c r="A761" s="643"/>
      <c r="B761" s="601"/>
      <c r="C761" s="753"/>
      <c r="D761" s="753"/>
      <c r="E761" s="753"/>
      <c r="F761" s="753" t="s">
        <v>187</v>
      </c>
      <c r="G761" s="597"/>
      <c r="H761" s="165" t="s">
        <v>12</v>
      </c>
      <c r="I761" s="611"/>
      <c r="J761" s="611"/>
      <c r="K761" s="93"/>
      <c r="L761" s="93"/>
      <c r="M761" s="93"/>
      <c r="N761" s="93"/>
      <c r="O761" s="93"/>
      <c r="P761" s="93"/>
      <c r="Q761" s="598"/>
      <c r="R761" s="598"/>
      <c r="S761" s="598"/>
      <c r="T761" s="598"/>
      <c r="U761" s="598"/>
      <c r="V761" s="598"/>
      <c r="W761" s="598"/>
      <c r="X761" s="598"/>
      <c r="Y761" s="598"/>
      <c r="Z761" s="598"/>
    </row>
    <row r="762" spans="1:26" ht="18.75" hidden="1">
      <c r="A762" s="643"/>
      <c r="B762" s="601"/>
      <c r="C762" s="753"/>
      <c r="D762" s="753"/>
      <c r="E762" s="753"/>
      <c r="F762" s="753" t="s">
        <v>188</v>
      </c>
      <c r="G762" s="597"/>
      <c r="H762" s="165" t="s">
        <v>12</v>
      </c>
      <c r="I762" s="611"/>
      <c r="J762" s="611"/>
      <c r="K762" s="93"/>
      <c r="L762" s="93"/>
      <c r="M762" s="93"/>
      <c r="N762" s="93"/>
      <c r="O762" s="93"/>
      <c r="P762" s="93"/>
      <c r="Q762" s="598"/>
      <c r="R762" s="598"/>
      <c r="S762" s="598"/>
      <c r="T762" s="598"/>
      <c r="U762" s="598"/>
      <c r="V762" s="598"/>
      <c r="W762" s="598"/>
      <c r="X762" s="598"/>
      <c r="Y762" s="598"/>
      <c r="Z762" s="598"/>
    </row>
    <row r="763" spans="1:26" ht="18.75" hidden="1">
      <c r="A763" s="643"/>
      <c r="B763" s="601"/>
      <c r="C763" s="753"/>
      <c r="D763" s="753"/>
      <c r="E763" s="753"/>
      <c r="F763" s="753" t="s">
        <v>189</v>
      </c>
      <c r="G763" s="597"/>
      <c r="H763" s="165" t="s">
        <v>12</v>
      </c>
      <c r="I763" s="611"/>
      <c r="J763" s="611"/>
      <c r="K763" s="93"/>
      <c r="L763" s="93"/>
      <c r="M763" s="93"/>
      <c r="N763" s="93"/>
      <c r="O763" s="93"/>
      <c r="P763" s="93"/>
      <c r="Q763" s="598"/>
      <c r="R763" s="598"/>
      <c r="S763" s="598"/>
      <c r="T763" s="598"/>
      <c r="U763" s="598"/>
      <c r="V763" s="598"/>
      <c r="W763" s="598"/>
      <c r="X763" s="598"/>
      <c r="Y763" s="598"/>
      <c r="Z763" s="598"/>
    </row>
    <row r="764" spans="1:26" ht="19.5" hidden="1">
      <c r="A764" s="593"/>
      <c r="B764" s="601"/>
      <c r="C764" s="753"/>
      <c r="D764" s="639" t="s">
        <v>21</v>
      </c>
      <c r="E764" s="753"/>
      <c r="F764" s="753"/>
      <c r="G764" s="597"/>
      <c r="H764" s="777" t="s">
        <v>12</v>
      </c>
      <c r="I764" s="166"/>
      <c r="J764" s="166"/>
      <c r="K764" s="167"/>
      <c r="L764" s="641">
        <f t="shared" ref="L764:N764" si="307">L765+L766</f>
        <v>0</v>
      </c>
      <c r="M764" s="641">
        <f t="shared" si="307"/>
        <v>0</v>
      </c>
      <c r="N764" s="641">
        <f t="shared" si="307"/>
        <v>0</v>
      </c>
      <c r="O764" s="641">
        <f t="shared" ref="O764:O766" si="308">IF(L764&gt;0,N764*100/L764,0)</f>
        <v>0</v>
      </c>
      <c r="P764" s="641">
        <f t="shared" ref="P764:P766" si="309">IF(M764&gt;0,N764*100/M764,0)</f>
        <v>0</v>
      </c>
      <c r="Q764" s="598"/>
      <c r="R764" s="598"/>
      <c r="S764" s="598"/>
      <c r="T764" s="598"/>
      <c r="U764" s="598"/>
      <c r="V764" s="598"/>
      <c r="W764" s="598"/>
      <c r="X764" s="598"/>
      <c r="Y764" s="598"/>
      <c r="Z764" s="598"/>
    </row>
    <row r="765" spans="1:26" ht="18.75" hidden="1">
      <c r="A765" s="593"/>
      <c r="B765" s="601"/>
      <c r="C765" s="753"/>
      <c r="D765" s="753"/>
      <c r="E765" s="753" t="s">
        <v>18</v>
      </c>
      <c r="F765" s="753"/>
      <c r="G765" s="597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598"/>
      <c r="R765" s="598"/>
      <c r="S765" s="598"/>
      <c r="T765" s="598"/>
      <c r="U765" s="598"/>
      <c r="V765" s="598"/>
      <c r="W765" s="598"/>
      <c r="X765" s="598"/>
      <c r="Y765" s="598"/>
      <c r="Z765" s="598"/>
    </row>
    <row r="766" spans="1:26" ht="18.75" hidden="1">
      <c r="A766" s="593"/>
      <c r="B766" s="601"/>
      <c r="C766" s="753"/>
      <c r="D766" s="753"/>
      <c r="E766" s="753" t="s">
        <v>19</v>
      </c>
      <c r="F766" s="753"/>
      <c r="G766" s="597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598"/>
      <c r="R766" s="598"/>
      <c r="S766" s="598"/>
      <c r="T766" s="598"/>
      <c r="U766" s="598"/>
      <c r="V766" s="598"/>
      <c r="W766" s="598"/>
      <c r="X766" s="598"/>
      <c r="Y766" s="598"/>
      <c r="Z766" s="598"/>
    </row>
    <row r="767" spans="1:26" ht="19.5" hidden="1">
      <c r="A767" s="608"/>
      <c r="B767" s="610"/>
      <c r="C767" s="753" t="s">
        <v>16</v>
      </c>
      <c r="D767" s="865" t="s">
        <v>38</v>
      </c>
      <c r="E767" s="645"/>
      <c r="F767" s="645"/>
      <c r="G767" s="646"/>
      <c r="H767" s="366"/>
      <c r="I767" s="166"/>
      <c r="J767" s="166"/>
      <c r="K767" s="167"/>
      <c r="L767" s="167"/>
      <c r="M767" s="167"/>
      <c r="N767" s="167"/>
      <c r="O767" s="167"/>
      <c r="P767" s="167"/>
      <c r="Q767" s="598"/>
      <c r="R767" s="598"/>
      <c r="S767" s="598"/>
      <c r="T767" s="598"/>
      <c r="U767" s="598"/>
      <c r="V767" s="598"/>
      <c r="W767" s="598"/>
      <c r="X767" s="598"/>
      <c r="Y767" s="598"/>
      <c r="Z767" s="598"/>
    </row>
    <row r="768" spans="1:26" ht="18.75" hidden="1">
      <c r="A768" s="643"/>
      <c r="B768" s="601"/>
      <c r="C768" s="753"/>
      <c r="D768" s="753"/>
      <c r="E768" s="753" t="s">
        <v>316</v>
      </c>
      <c r="F768" s="753"/>
      <c r="G768" s="597"/>
      <c r="H768" s="165" t="s">
        <v>46</v>
      </c>
      <c r="I768" s="611"/>
      <c r="J768" s="611"/>
      <c r="K768" s="93"/>
      <c r="L768" s="93"/>
      <c r="M768" s="93"/>
      <c r="N768" s="93"/>
      <c r="O768" s="93"/>
      <c r="P768" s="93"/>
      <c r="Q768" s="598"/>
      <c r="R768" s="598"/>
      <c r="S768" s="598"/>
      <c r="T768" s="598"/>
      <c r="U768" s="598"/>
      <c r="V768" s="598"/>
      <c r="W768" s="598"/>
      <c r="X768" s="598"/>
      <c r="Y768" s="598"/>
      <c r="Z768" s="598"/>
    </row>
    <row r="769" spans="1:26" ht="19.5" hidden="1">
      <c r="A769" s="787">
        <v>11</v>
      </c>
      <c r="B769" s="788" t="s">
        <v>317</v>
      </c>
      <c r="C769" s="789"/>
      <c r="D769" s="789"/>
      <c r="E769" s="789"/>
      <c r="F769" s="789"/>
      <c r="G769" s="790"/>
      <c r="H769" s="791" t="s">
        <v>46</v>
      </c>
      <c r="I769" s="792"/>
      <c r="J769" s="792">
        <f>J784</f>
        <v>0</v>
      </c>
      <c r="K769" s="793">
        <f>IF(I769&gt;0,J769*100/I769,0)</f>
        <v>0</v>
      </c>
      <c r="L769" s="794"/>
      <c r="M769" s="794"/>
      <c r="N769" s="794"/>
      <c r="O769" s="794"/>
      <c r="P769" s="794"/>
      <c r="Q769" s="598"/>
      <c r="R769" s="598"/>
      <c r="S769" s="598"/>
      <c r="T769" s="598"/>
      <c r="U769" s="598"/>
      <c r="V769" s="598"/>
      <c r="W769" s="598"/>
      <c r="X769" s="598"/>
      <c r="Y769" s="598"/>
      <c r="Z769" s="598"/>
    </row>
    <row r="770" spans="1:26" ht="19.5" hidden="1">
      <c r="A770" s="593"/>
      <c r="B770" s="753"/>
      <c r="C770" s="753" t="s">
        <v>16</v>
      </c>
      <c r="D770" s="892" t="s">
        <v>17</v>
      </c>
      <c r="E770" s="888"/>
      <c r="F770" s="888"/>
      <c r="G770" s="597"/>
      <c r="H770" s="640" t="s">
        <v>12</v>
      </c>
      <c r="I770" s="611"/>
      <c r="J770" s="611"/>
      <c r="K770" s="93"/>
      <c r="L770" s="641">
        <f t="shared" ref="L770:N770" si="310">L771+L772</f>
        <v>0</v>
      </c>
      <c r="M770" s="641">
        <f t="shared" si="310"/>
        <v>0</v>
      </c>
      <c r="N770" s="641">
        <f t="shared" si="310"/>
        <v>0</v>
      </c>
      <c r="O770" s="641">
        <f t="shared" ref="O770:O775" si="311">IF(L770&gt;0,N770*100/L770,0)</f>
        <v>0</v>
      </c>
      <c r="P770" s="641">
        <f t="shared" ref="P770:P775" si="312">IF(M770&gt;0,N770*100/M770,0)</f>
        <v>0</v>
      </c>
      <c r="Q770" s="598"/>
      <c r="R770" s="598"/>
      <c r="S770" s="598"/>
      <c r="T770" s="598"/>
      <c r="U770" s="598"/>
      <c r="V770" s="598"/>
      <c r="W770" s="598"/>
      <c r="X770" s="598"/>
      <c r="Y770" s="598"/>
      <c r="Z770" s="598"/>
    </row>
    <row r="771" spans="1:26" ht="18.75" hidden="1">
      <c r="A771" s="593"/>
      <c r="B771" s="753"/>
      <c r="C771" s="753"/>
      <c r="D771" s="714"/>
      <c r="E771" s="753" t="s">
        <v>184</v>
      </c>
      <c r="F771" s="753"/>
      <c r="G771" s="597"/>
      <c r="H771" s="165" t="s">
        <v>12</v>
      </c>
      <c r="I771" s="611"/>
      <c r="J771" s="611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598"/>
      <c r="R771" s="598"/>
      <c r="S771" s="598"/>
      <c r="T771" s="598"/>
      <c r="U771" s="598"/>
      <c r="V771" s="598"/>
      <c r="W771" s="598"/>
      <c r="X771" s="598"/>
      <c r="Y771" s="598"/>
      <c r="Z771" s="598"/>
    </row>
    <row r="772" spans="1:26" ht="18.75" hidden="1">
      <c r="A772" s="593"/>
      <c r="B772" s="601"/>
      <c r="C772" s="753"/>
      <c r="D772" s="714"/>
      <c r="E772" s="753" t="s">
        <v>185</v>
      </c>
      <c r="F772" s="753"/>
      <c r="G772" s="597"/>
      <c r="H772" s="165" t="s">
        <v>12</v>
      </c>
      <c r="I772" s="611"/>
      <c r="J772" s="611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598"/>
      <c r="R772" s="598"/>
      <c r="S772" s="598"/>
      <c r="T772" s="598"/>
      <c r="U772" s="598"/>
      <c r="V772" s="598"/>
      <c r="W772" s="598"/>
      <c r="X772" s="598"/>
      <c r="Y772" s="598"/>
      <c r="Z772" s="598"/>
    </row>
    <row r="773" spans="1:26" ht="19.5" hidden="1">
      <c r="A773" s="593"/>
      <c r="B773" s="601"/>
      <c r="C773" s="753"/>
      <c r="D773" s="639" t="s">
        <v>20</v>
      </c>
      <c r="E773" s="753"/>
      <c r="F773" s="753"/>
      <c r="G773" s="597"/>
      <c r="H773" s="640" t="s">
        <v>12</v>
      </c>
      <c r="I773" s="166"/>
      <c r="J773" s="166"/>
      <c r="K773" s="167"/>
      <c r="L773" s="641">
        <f t="shared" ref="L773:N773" si="314">L774+L775</f>
        <v>0</v>
      </c>
      <c r="M773" s="641">
        <f t="shared" si="314"/>
        <v>0</v>
      </c>
      <c r="N773" s="641">
        <f t="shared" si="314"/>
        <v>0</v>
      </c>
      <c r="O773" s="641">
        <f t="shared" si="311"/>
        <v>0</v>
      </c>
      <c r="P773" s="641">
        <f t="shared" si="312"/>
        <v>0</v>
      </c>
      <c r="Q773" s="598"/>
      <c r="R773" s="598"/>
      <c r="S773" s="598"/>
      <c r="T773" s="598"/>
      <c r="U773" s="598"/>
      <c r="V773" s="598"/>
      <c r="W773" s="598"/>
      <c r="X773" s="598"/>
      <c r="Y773" s="598"/>
      <c r="Z773" s="598"/>
    </row>
    <row r="774" spans="1:26" ht="18.75" hidden="1">
      <c r="A774" s="593"/>
      <c r="B774" s="601"/>
      <c r="C774" s="753"/>
      <c r="D774" s="714"/>
      <c r="E774" s="753" t="s">
        <v>184</v>
      </c>
      <c r="F774" s="753"/>
      <c r="G774" s="597"/>
      <c r="H774" s="165" t="s">
        <v>12</v>
      </c>
      <c r="I774" s="611"/>
      <c r="J774" s="611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598"/>
      <c r="R774" s="598"/>
      <c r="S774" s="598"/>
      <c r="T774" s="598"/>
      <c r="U774" s="598"/>
      <c r="V774" s="598"/>
      <c r="W774" s="598"/>
      <c r="X774" s="598"/>
      <c r="Y774" s="598"/>
      <c r="Z774" s="598"/>
    </row>
    <row r="775" spans="1:26" ht="18.75" hidden="1">
      <c r="A775" s="593"/>
      <c r="B775" s="601"/>
      <c r="C775" s="753"/>
      <c r="D775" s="714"/>
      <c r="E775" s="753" t="s">
        <v>185</v>
      </c>
      <c r="F775" s="753"/>
      <c r="G775" s="597"/>
      <c r="H775" s="165" t="s">
        <v>12</v>
      </c>
      <c r="I775" s="611"/>
      <c r="J775" s="611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598"/>
      <c r="R775" s="598"/>
      <c r="S775" s="598"/>
      <c r="T775" s="598"/>
      <c r="U775" s="598"/>
      <c r="V775" s="598"/>
      <c r="W775" s="598"/>
      <c r="X775" s="598"/>
      <c r="Y775" s="598"/>
      <c r="Z775" s="598"/>
    </row>
    <row r="776" spans="1:26" ht="18.75" hidden="1">
      <c r="A776" s="643"/>
      <c r="B776" s="601"/>
      <c r="C776" s="753"/>
      <c r="D776" s="753"/>
      <c r="E776" s="753"/>
      <c r="F776" s="753" t="s">
        <v>186</v>
      </c>
      <c r="G776" s="597"/>
      <c r="H776" s="165" t="s">
        <v>12</v>
      </c>
      <c r="I776" s="611"/>
      <c r="J776" s="611"/>
      <c r="K776" s="93"/>
      <c r="L776" s="93"/>
      <c r="M776" s="93"/>
      <c r="N776" s="93"/>
      <c r="O776" s="93"/>
      <c r="P776" s="93"/>
      <c r="Q776" s="598"/>
      <c r="R776" s="598"/>
      <c r="S776" s="598"/>
      <c r="T776" s="598"/>
      <c r="U776" s="598"/>
      <c r="V776" s="598"/>
      <c r="W776" s="598"/>
      <c r="X776" s="598"/>
      <c r="Y776" s="598"/>
      <c r="Z776" s="598"/>
    </row>
    <row r="777" spans="1:26" ht="18.75" hidden="1">
      <c r="A777" s="643"/>
      <c r="B777" s="601"/>
      <c r="C777" s="753"/>
      <c r="D777" s="753"/>
      <c r="E777" s="753"/>
      <c r="F777" s="753" t="s">
        <v>187</v>
      </c>
      <c r="G777" s="597"/>
      <c r="H777" s="165" t="s">
        <v>12</v>
      </c>
      <c r="I777" s="611"/>
      <c r="J777" s="611"/>
      <c r="K777" s="93"/>
      <c r="L777" s="93"/>
      <c r="M777" s="93"/>
      <c r="N777" s="93"/>
      <c r="O777" s="93"/>
      <c r="P777" s="93"/>
      <c r="Q777" s="598"/>
      <c r="R777" s="598"/>
      <c r="S777" s="598"/>
      <c r="T777" s="598"/>
      <c r="U777" s="598"/>
      <c r="V777" s="598"/>
      <c r="W777" s="598"/>
      <c r="X777" s="598"/>
      <c r="Y777" s="598"/>
      <c r="Z777" s="598"/>
    </row>
    <row r="778" spans="1:26" ht="18.75" hidden="1">
      <c r="A778" s="643"/>
      <c r="B778" s="601"/>
      <c r="C778" s="753"/>
      <c r="D778" s="753"/>
      <c r="E778" s="753"/>
      <c r="F778" s="753" t="s">
        <v>188</v>
      </c>
      <c r="G778" s="597"/>
      <c r="H778" s="165" t="s">
        <v>12</v>
      </c>
      <c r="I778" s="611"/>
      <c r="J778" s="611"/>
      <c r="K778" s="93"/>
      <c r="L778" s="93"/>
      <c r="M778" s="93"/>
      <c r="N778" s="93"/>
      <c r="O778" s="93"/>
      <c r="P778" s="93"/>
      <c r="Q778" s="598"/>
      <c r="R778" s="598"/>
      <c r="S778" s="598"/>
      <c r="T778" s="598"/>
      <c r="U778" s="598"/>
      <c r="V778" s="598"/>
      <c r="W778" s="598"/>
      <c r="X778" s="598"/>
      <c r="Y778" s="598"/>
      <c r="Z778" s="598"/>
    </row>
    <row r="779" spans="1:26" ht="18.75" hidden="1">
      <c r="A779" s="643"/>
      <c r="B779" s="601"/>
      <c r="C779" s="753"/>
      <c r="D779" s="753"/>
      <c r="E779" s="753"/>
      <c r="F779" s="753" t="s">
        <v>189</v>
      </c>
      <c r="G779" s="597"/>
      <c r="H779" s="165" t="s">
        <v>12</v>
      </c>
      <c r="I779" s="611"/>
      <c r="J779" s="611"/>
      <c r="K779" s="93"/>
      <c r="L779" s="93"/>
      <c r="M779" s="93"/>
      <c r="N779" s="93"/>
      <c r="O779" s="93"/>
      <c r="P779" s="93"/>
      <c r="Q779" s="598"/>
      <c r="R779" s="598"/>
      <c r="S779" s="598"/>
      <c r="T779" s="598"/>
      <c r="U779" s="598"/>
      <c r="V779" s="598"/>
      <c r="W779" s="598"/>
      <c r="X779" s="598"/>
      <c r="Y779" s="598"/>
      <c r="Z779" s="598"/>
    </row>
    <row r="780" spans="1:26" ht="19.5" hidden="1">
      <c r="A780" s="593"/>
      <c r="B780" s="601"/>
      <c r="C780" s="753"/>
      <c r="D780" s="639" t="s">
        <v>21</v>
      </c>
      <c r="E780" s="753"/>
      <c r="F780" s="753"/>
      <c r="G780" s="597"/>
      <c r="H780" s="777" t="s">
        <v>12</v>
      </c>
      <c r="I780" s="166"/>
      <c r="J780" s="166"/>
      <c r="K780" s="167"/>
      <c r="L780" s="641">
        <f t="shared" ref="L780:N780" si="315">L781+L782</f>
        <v>0</v>
      </c>
      <c r="M780" s="641">
        <f t="shared" si="315"/>
        <v>0</v>
      </c>
      <c r="N780" s="641">
        <f t="shared" si="315"/>
        <v>0</v>
      </c>
      <c r="O780" s="641">
        <f t="shared" ref="O780:O782" si="316">IF(L780&gt;0,N780*100/L780,0)</f>
        <v>0</v>
      </c>
      <c r="P780" s="641">
        <f t="shared" ref="P780:P782" si="317">IF(M780&gt;0,N780*100/M780,0)</f>
        <v>0</v>
      </c>
      <c r="Q780" s="598"/>
      <c r="R780" s="598"/>
      <c r="S780" s="598"/>
      <c r="T780" s="598"/>
      <c r="U780" s="598"/>
      <c r="V780" s="598"/>
      <c r="W780" s="598"/>
      <c r="X780" s="598"/>
      <c r="Y780" s="598"/>
      <c r="Z780" s="598"/>
    </row>
    <row r="781" spans="1:26" ht="18.75" hidden="1">
      <c r="A781" s="593"/>
      <c r="B781" s="601"/>
      <c r="C781" s="753"/>
      <c r="D781" s="753"/>
      <c r="E781" s="753" t="s">
        <v>18</v>
      </c>
      <c r="F781" s="753"/>
      <c r="G781" s="597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598"/>
      <c r="R781" s="598"/>
      <c r="S781" s="598"/>
      <c r="T781" s="598"/>
      <c r="U781" s="598"/>
      <c r="V781" s="598"/>
      <c r="W781" s="598"/>
      <c r="X781" s="598"/>
      <c r="Y781" s="598"/>
      <c r="Z781" s="598"/>
    </row>
    <row r="782" spans="1:26" ht="18.75" hidden="1">
      <c r="A782" s="593"/>
      <c r="B782" s="601"/>
      <c r="C782" s="753"/>
      <c r="D782" s="753"/>
      <c r="E782" s="753" t="s">
        <v>19</v>
      </c>
      <c r="F782" s="753"/>
      <c r="G782" s="597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598"/>
      <c r="R782" s="598"/>
      <c r="S782" s="598"/>
      <c r="T782" s="598"/>
      <c r="U782" s="598"/>
      <c r="V782" s="598"/>
      <c r="W782" s="598"/>
      <c r="X782" s="598"/>
      <c r="Y782" s="598"/>
      <c r="Z782" s="598"/>
    </row>
    <row r="783" spans="1:26" ht="19.5" hidden="1">
      <c r="A783" s="608"/>
      <c r="B783" s="610"/>
      <c r="C783" s="753" t="s">
        <v>16</v>
      </c>
      <c r="D783" s="865" t="s">
        <v>38</v>
      </c>
      <c r="E783" s="645"/>
      <c r="F783" s="645"/>
      <c r="G783" s="646"/>
      <c r="H783" s="795"/>
      <c r="I783" s="166"/>
      <c r="J783" s="166"/>
      <c r="K783" s="167"/>
      <c r="L783" s="167"/>
      <c r="M783" s="167"/>
      <c r="N783" s="167"/>
      <c r="O783" s="167"/>
      <c r="P783" s="167"/>
      <c r="Q783" s="598"/>
      <c r="R783" s="598"/>
      <c r="S783" s="598"/>
      <c r="T783" s="598"/>
      <c r="U783" s="598"/>
      <c r="V783" s="598"/>
      <c r="W783" s="598"/>
      <c r="X783" s="598"/>
      <c r="Y783" s="598"/>
      <c r="Z783" s="598"/>
    </row>
    <row r="784" spans="1:26" ht="18.75" hidden="1">
      <c r="A784" s="643"/>
      <c r="B784" s="601"/>
      <c r="C784" s="753"/>
      <c r="D784" s="753"/>
      <c r="E784" s="753" t="s">
        <v>318</v>
      </c>
      <c r="F784" s="753"/>
      <c r="G784" s="597"/>
      <c r="H784" s="165" t="s">
        <v>46</v>
      </c>
      <c r="I784" s="611"/>
      <c r="J784" s="611"/>
      <c r="K784" s="93"/>
      <c r="L784" s="93"/>
      <c r="M784" s="93"/>
      <c r="N784" s="93"/>
      <c r="O784" s="93"/>
      <c r="P784" s="93"/>
      <c r="Q784" s="598"/>
      <c r="R784" s="598"/>
      <c r="S784" s="598"/>
      <c r="T784" s="598"/>
      <c r="U784" s="598"/>
      <c r="V784" s="598"/>
      <c r="W784" s="598"/>
      <c r="X784" s="598"/>
      <c r="Y784" s="598"/>
      <c r="Z784" s="598"/>
    </row>
    <row r="785" spans="1:26" ht="19.5" hidden="1">
      <c r="A785" s="796">
        <v>12</v>
      </c>
      <c r="B785" s="797" t="s">
        <v>319</v>
      </c>
      <c r="C785" s="798"/>
      <c r="D785" s="798"/>
      <c r="E785" s="798"/>
      <c r="F785" s="798"/>
      <c r="G785" s="799"/>
      <c r="H785" s="866" t="s">
        <v>46</v>
      </c>
      <c r="I785" s="867">
        <f t="shared" ref="I785:J785" ca="1" si="318">I800</f>
        <v>0</v>
      </c>
      <c r="J785" s="868">
        <f t="shared" ca="1" si="318"/>
        <v>0</v>
      </c>
      <c r="K785" s="869">
        <f ca="1">IF(I785&gt;0,J785*100/I785,0)</f>
        <v>0</v>
      </c>
      <c r="L785" s="803"/>
      <c r="M785" s="803"/>
      <c r="N785" s="803"/>
      <c r="O785" s="803"/>
      <c r="P785" s="803"/>
      <c r="Q785" s="572"/>
      <c r="R785" s="572"/>
      <c r="S785" s="572"/>
      <c r="T785" s="572"/>
      <c r="U785" s="572"/>
      <c r="V785" s="572"/>
      <c r="W785" s="572"/>
      <c r="X785" s="572"/>
      <c r="Y785" s="572"/>
      <c r="Z785" s="572"/>
    </row>
    <row r="786" spans="1:26" ht="19.5" hidden="1">
      <c r="A786" s="591"/>
      <c r="B786" s="569"/>
      <c r="C786" s="757" t="s">
        <v>16</v>
      </c>
      <c r="D786" s="887" t="s">
        <v>17</v>
      </c>
      <c r="E786" s="888"/>
      <c r="F786" s="888"/>
      <c r="G786" s="189"/>
      <c r="H786" s="592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2"/>
      <c r="R786" s="572"/>
      <c r="S786" s="572"/>
      <c r="T786" s="572"/>
      <c r="U786" s="572"/>
      <c r="V786" s="572"/>
      <c r="W786" s="572"/>
      <c r="X786" s="572"/>
      <c r="Y786" s="572"/>
      <c r="Z786" s="572"/>
    </row>
    <row r="787" spans="1:26" ht="18.75" hidden="1">
      <c r="A787" s="593"/>
      <c r="B787" s="601"/>
      <c r="C787" s="753"/>
      <c r="D787" s="714"/>
      <c r="E787" s="753" t="s">
        <v>184</v>
      </c>
      <c r="F787" s="753"/>
      <c r="G787" s="597"/>
      <c r="H787" s="165" t="s">
        <v>12</v>
      </c>
      <c r="I787" s="611"/>
      <c r="J787" s="611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598"/>
      <c r="R787" s="598"/>
      <c r="S787" s="598"/>
      <c r="T787" s="598"/>
      <c r="U787" s="598"/>
      <c r="V787" s="598"/>
      <c r="W787" s="598"/>
      <c r="X787" s="598"/>
      <c r="Y787" s="598"/>
      <c r="Z787" s="598"/>
    </row>
    <row r="788" spans="1:26" ht="18.75" hidden="1">
      <c r="A788" s="593"/>
      <c r="B788" s="601"/>
      <c r="C788" s="601"/>
      <c r="D788" s="610"/>
      <c r="E788" s="753" t="s">
        <v>185</v>
      </c>
      <c r="F788" s="753"/>
      <c r="G788" s="597"/>
      <c r="H788" s="165" t="s">
        <v>12</v>
      </c>
      <c r="I788" s="611"/>
      <c r="J788" s="611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598"/>
      <c r="R788" s="598"/>
      <c r="S788" s="598"/>
      <c r="T788" s="598"/>
      <c r="U788" s="598"/>
      <c r="V788" s="598"/>
      <c r="W788" s="598"/>
      <c r="X788" s="598"/>
      <c r="Y788" s="598"/>
      <c r="Z788" s="598"/>
    </row>
    <row r="789" spans="1:26" ht="18.75" hidden="1">
      <c r="A789" s="591"/>
      <c r="B789" s="569"/>
      <c r="C789" s="569"/>
      <c r="D789" s="600" t="s">
        <v>20</v>
      </c>
      <c r="E789" s="757"/>
      <c r="F789" s="757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2"/>
      <c r="R789" s="572"/>
      <c r="S789" s="572"/>
      <c r="T789" s="572"/>
      <c r="U789" s="572"/>
      <c r="V789" s="572"/>
      <c r="W789" s="572"/>
      <c r="X789" s="572"/>
      <c r="Y789" s="572"/>
      <c r="Z789" s="572"/>
    </row>
    <row r="790" spans="1:26" ht="18.75" hidden="1">
      <c r="A790" s="593"/>
      <c r="B790" s="601"/>
      <c r="C790" s="601"/>
      <c r="D790" s="610"/>
      <c r="E790" s="753" t="s">
        <v>184</v>
      </c>
      <c r="F790" s="753"/>
      <c r="G790" s="597"/>
      <c r="H790" s="165" t="s">
        <v>12</v>
      </c>
      <c r="I790" s="611"/>
      <c r="J790" s="611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598"/>
      <c r="R790" s="598"/>
      <c r="S790" s="598"/>
      <c r="T790" s="598"/>
      <c r="U790" s="598"/>
      <c r="V790" s="598"/>
      <c r="W790" s="598"/>
      <c r="X790" s="598"/>
      <c r="Y790" s="598"/>
      <c r="Z790" s="598"/>
    </row>
    <row r="791" spans="1:26" ht="18.75" hidden="1">
      <c r="A791" s="593"/>
      <c r="B791" s="601"/>
      <c r="C791" s="601"/>
      <c r="D791" s="610"/>
      <c r="E791" s="753" t="s">
        <v>185</v>
      </c>
      <c r="F791" s="753"/>
      <c r="G791" s="597"/>
      <c r="H791" s="165" t="s">
        <v>12</v>
      </c>
      <c r="I791" s="611"/>
      <c r="J791" s="611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598"/>
      <c r="R791" s="598"/>
      <c r="S791" s="598"/>
      <c r="T791" s="598"/>
      <c r="U791" s="598"/>
      <c r="V791" s="598"/>
      <c r="W791" s="598"/>
      <c r="X791" s="598"/>
      <c r="Y791" s="598"/>
      <c r="Z791" s="598"/>
    </row>
    <row r="792" spans="1:26" ht="18.75" hidden="1">
      <c r="A792" s="568"/>
      <c r="B792" s="569"/>
      <c r="C792" s="757"/>
      <c r="D792" s="757"/>
      <c r="E792" s="757"/>
      <c r="F792" s="757" t="s">
        <v>186</v>
      </c>
      <c r="G792" s="189"/>
      <c r="H792" s="161" t="s">
        <v>12</v>
      </c>
      <c r="I792" s="270"/>
      <c r="J792" s="270"/>
      <c r="K792" s="497"/>
      <c r="L792" s="497"/>
      <c r="M792" s="497"/>
      <c r="N792" s="834">
        <v>0</v>
      </c>
      <c r="O792" s="497"/>
      <c r="P792" s="497"/>
      <c r="Q792" s="572"/>
      <c r="R792" s="572"/>
      <c r="S792" s="572"/>
      <c r="T792" s="572"/>
      <c r="U792" s="572"/>
      <c r="V792" s="572"/>
      <c r="W792" s="572"/>
      <c r="X792" s="572"/>
      <c r="Y792" s="572"/>
      <c r="Z792" s="572"/>
    </row>
    <row r="793" spans="1:26" ht="18.75" hidden="1">
      <c r="A793" s="568"/>
      <c r="B793" s="569"/>
      <c r="C793" s="757"/>
      <c r="D793" s="757"/>
      <c r="E793" s="757"/>
      <c r="F793" s="757" t="s">
        <v>187</v>
      </c>
      <c r="G793" s="189"/>
      <c r="H793" s="161" t="s">
        <v>12</v>
      </c>
      <c r="I793" s="270"/>
      <c r="J793" s="270"/>
      <c r="K793" s="497"/>
      <c r="L793" s="497"/>
      <c r="M793" s="497"/>
      <c r="N793" s="834">
        <v>0</v>
      </c>
      <c r="O793" s="497"/>
      <c r="P793" s="497"/>
      <c r="Q793" s="572"/>
      <c r="R793" s="572"/>
      <c r="S793" s="572"/>
      <c r="T793" s="572"/>
      <c r="U793" s="572"/>
      <c r="V793" s="572"/>
      <c r="W793" s="572"/>
      <c r="X793" s="572"/>
      <c r="Y793" s="572"/>
      <c r="Z793" s="572"/>
    </row>
    <row r="794" spans="1:26" ht="18.75" hidden="1">
      <c r="A794" s="568"/>
      <c r="B794" s="569"/>
      <c r="C794" s="757"/>
      <c r="D794" s="757"/>
      <c r="E794" s="757"/>
      <c r="F794" s="757" t="s">
        <v>188</v>
      </c>
      <c r="G794" s="189"/>
      <c r="H794" s="161" t="s">
        <v>12</v>
      </c>
      <c r="I794" s="270"/>
      <c r="J794" s="270"/>
      <c r="K794" s="497"/>
      <c r="L794" s="497"/>
      <c r="M794" s="497"/>
      <c r="N794" s="834">
        <v>0</v>
      </c>
      <c r="O794" s="497"/>
      <c r="P794" s="497"/>
      <c r="Q794" s="572"/>
      <c r="R794" s="572"/>
      <c r="S794" s="572"/>
      <c r="T794" s="572"/>
      <c r="U794" s="572"/>
      <c r="V794" s="572"/>
      <c r="W794" s="572"/>
      <c r="X794" s="572"/>
      <c r="Y794" s="572"/>
      <c r="Z794" s="572"/>
    </row>
    <row r="795" spans="1:26" ht="18.75" hidden="1">
      <c r="A795" s="568"/>
      <c r="B795" s="569"/>
      <c r="C795" s="757"/>
      <c r="D795" s="757"/>
      <c r="E795" s="757"/>
      <c r="F795" s="757" t="s">
        <v>189</v>
      </c>
      <c r="G795" s="189"/>
      <c r="H795" s="161" t="s">
        <v>12</v>
      </c>
      <c r="I795" s="270"/>
      <c r="J795" s="270"/>
      <c r="K795" s="497"/>
      <c r="L795" s="497"/>
      <c r="M795" s="497"/>
      <c r="N795" s="834">
        <v>0</v>
      </c>
      <c r="O795" s="497"/>
      <c r="P795" s="497"/>
      <c r="Q795" s="572"/>
      <c r="R795" s="572"/>
      <c r="S795" s="572"/>
      <c r="T795" s="572"/>
      <c r="U795" s="572"/>
      <c r="V795" s="572"/>
      <c r="W795" s="572"/>
      <c r="X795" s="572"/>
      <c r="Y795" s="572"/>
      <c r="Z795" s="572"/>
    </row>
    <row r="796" spans="1:26" ht="18.75" hidden="1">
      <c r="A796" s="591"/>
      <c r="B796" s="569"/>
      <c r="C796" s="757"/>
      <c r="D796" s="600" t="s">
        <v>21</v>
      </c>
      <c r="E796" s="757"/>
      <c r="F796" s="757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2"/>
      <c r="R796" s="572"/>
      <c r="S796" s="572"/>
      <c r="T796" s="572"/>
      <c r="U796" s="572"/>
      <c r="V796" s="572"/>
      <c r="W796" s="572"/>
      <c r="X796" s="572"/>
      <c r="Y796" s="572"/>
      <c r="Z796" s="572"/>
    </row>
    <row r="797" spans="1:26" ht="18.75" hidden="1">
      <c r="A797" s="593"/>
      <c r="B797" s="601"/>
      <c r="C797" s="753"/>
      <c r="D797" s="753"/>
      <c r="E797" s="753" t="s">
        <v>18</v>
      </c>
      <c r="F797" s="753"/>
      <c r="G797" s="597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598"/>
      <c r="R797" s="598"/>
      <c r="S797" s="598"/>
      <c r="T797" s="598"/>
      <c r="U797" s="598"/>
      <c r="V797" s="598"/>
      <c r="W797" s="598"/>
      <c r="X797" s="598"/>
      <c r="Y797" s="598"/>
      <c r="Z797" s="598"/>
    </row>
    <row r="798" spans="1:26" ht="18.75" hidden="1">
      <c r="A798" s="593"/>
      <c r="B798" s="601"/>
      <c r="C798" s="753"/>
      <c r="D798" s="753"/>
      <c r="E798" s="753" t="s">
        <v>19</v>
      </c>
      <c r="F798" s="753"/>
      <c r="G798" s="597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598"/>
      <c r="R798" s="598"/>
      <c r="S798" s="598"/>
      <c r="T798" s="598"/>
      <c r="U798" s="598"/>
      <c r="V798" s="598"/>
      <c r="W798" s="598"/>
      <c r="X798" s="598"/>
      <c r="Y798" s="598"/>
      <c r="Z798" s="598"/>
    </row>
    <row r="799" spans="1:26" ht="19.5" hidden="1">
      <c r="A799" s="602"/>
      <c r="B799" s="612"/>
      <c r="C799" s="757" t="s">
        <v>16</v>
      </c>
      <c r="D799" s="864" t="s">
        <v>38</v>
      </c>
      <c r="E799" s="755"/>
      <c r="F799" s="755"/>
      <c r="G799" s="607"/>
      <c r="H799" s="870"/>
      <c r="I799" s="184"/>
      <c r="J799" s="184"/>
      <c r="K799" s="163"/>
      <c r="L799" s="163"/>
      <c r="M799" s="163"/>
      <c r="N799" s="163"/>
      <c r="O799" s="163"/>
      <c r="P799" s="163"/>
      <c r="Q799" s="572"/>
      <c r="R799" s="572"/>
      <c r="S799" s="572"/>
      <c r="T799" s="572"/>
      <c r="U799" s="572"/>
      <c r="V799" s="572"/>
      <c r="W799" s="572"/>
      <c r="X799" s="572"/>
      <c r="Y799" s="572"/>
      <c r="Z799" s="572"/>
    </row>
    <row r="800" spans="1:26" ht="18.75" hidden="1">
      <c r="A800" s="602"/>
      <c r="B800" s="612"/>
      <c r="C800" s="612"/>
      <c r="D800" s="612"/>
      <c r="E800" s="620"/>
      <c r="F800" s="620" t="s">
        <v>320</v>
      </c>
      <c r="G800" s="756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2"/>
      <c r="R800" s="572"/>
      <c r="S800" s="572"/>
      <c r="T800" s="572"/>
      <c r="U800" s="572"/>
      <c r="V800" s="572"/>
      <c r="W800" s="572"/>
      <c r="X800" s="572"/>
      <c r="Y800" s="572"/>
      <c r="Z800" s="572"/>
    </row>
    <row r="801" spans="1:26" ht="18.75" hidden="1">
      <c r="A801" s="602"/>
      <c r="B801" s="612"/>
      <c r="C801" s="612"/>
      <c r="D801" s="612"/>
      <c r="E801" s="620"/>
      <c r="F801" s="620"/>
      <c r="G801" s="756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2"/>
      <c r="R801" s="572"/>
      <c r="S801" s="572"/>
      <c r="T801" s="572"/>
      <c r="U801" s="572"/>
      <c r="V801" s="572"/>
      <c r="W801" s="572"/>
      <c r="X801" s="572"/>
      <c r="Y801" s="572"/>
      <c r="Z801" s="572"/>
    </row>
    <row r="802" spans="1:26" ht="18.75" hidden="1">
      <c r="A802" s="608"/>
      <c r="B802" s="610"/>
      <c r="C802" s="610"/>
      <c r="D802" s="610"/>
      <c r="E802" s="714"/>
      <c r="F802" s="714" t="s">
        <v>321</v>
      </c>
      <c r="G802" s="366"/>
      <c r="H802" s="647" t="s">
        <v>46</v>
      </c>
      <c r="I802" s="166"/>
      <c r="J802" s="611"/>
      <c r="K802" s="167">
        <f>IF(I802&gt;0,J802*100/I802,0)</f>
        <v>0</v>
      </c>
      <c r="L802" s="167"/>
      <c r="M802" s="167"/>
      <c r="N802" s="167"/>
      <c r="O802" s="167"/>
      <c r="P802" s="167"/>
      <c r="Q802" s="598"/>
      <c r="R802" s="598"/>
      <c r="S802" s="598"/>
      <c r="T802" s="598"/>
      <c r="U802" s="598"/>
      <c r="V802" s="598"/>
      <c r="W802" s="598"/>
      <c r="X802" s="598"/>
      <c r="Y802" s="598"/>
      <c r="Z802" s="598"/>
    </row>
    <row r="803" spans="1:26" ht="18.75" hidden="1">
      <c r="A803" s="608"/>
      <c r="B803" s="610"/>
      <c r="C803" s="610"/>
      <c r="D803" s="610"/>
      <c r="E803" s="714"/>
      <c r="F803" s="714"/>
      <c r="G803" s="366"/>
      <c r="H803" s="647" t="s">
        <v>34</v>
      </c>
      <c r="I803" s="166"/>
      <c r="J803" s="611"/>
      <c r="K803" s="167"/>
      <c r="L803" s="167"/>
      <c r="M803" s="167"/>
      <c r="N803" s="167"/>
      <c r="O803" s="167"/>
      <c r="P803" s="167"/>
      <c r="Q803" s="598"/>
      <c r="R803" s="598"/>
      <c r="S803" s="598"/>
      <c r="T803" s="598"/>
      <c r="U803" s="598"/>
      <c r="V803" s="598"/>
      <c r="W803" s="598"/>
      <c r="X803" s="598"/>
      <c r="Y803" s="598"/>
      <c r="Z803" s="598"/>
    </row>
    <row r="804" spans="1:26" ht="19.5" hidden="1">
      <c r="A804" s="787">
        <v>13</v>
      </c>
      <c r="B804" s="788" t="s">
        <v>322</v>
      </c>
      <c r="C804" s="789"/>
      <c r="D804" s="819"/>
      <c r="E804" s="789"/>
      <c r="F804" s="789"/>
      <c r="G804" s="790"/>
      <c r="H804" s="791" t="s">
        <v>46</v>
      </c>
      <c r="I804" s="792"/>
      <c r="J804" s="792">
        <f>J819</f>
        <v>0</v>
      </c>
      <c r="K804" s="793">
        <f>IF(I804&gt;0,J804*100/I804,0)</f>
        <v>0</v>
      </c>
      <c r="L804" s="794"/>
      <c r="M804" s="794"/>
      <c r="N804" s="794"/>
      <c r="O804" s="794"/>
      <c r="P804" s="794"/>
      <c r="Q804" s="598"/>
      <c r="R804" s="598"/>
      <c r="S804" s="598"/>
      <c r="T804" s="598"/>
      <c r="U804" s="598"/>
      <c r="V804" s="598"/>
      <c r="W804" s="598"/>
      <c r="X804" s="598"/>
      <c r="Y804" s="598"/>
      <c r="Z804" s="598"/>
    </row>
    <row r="805" spans="1:26" ht="19.5" hidden="1">
      <c r="A805" s="593"/>
      <c r="B805" s="753"/>
      <c r="C805" s="753" t="s">
        <v>16</v>
      </c>
      <c r="D805" s="892" t="s">
        <v>17</v>
      </c>
      <c r="E805" s="888"/>
      <c r="F805" s="888"/>
      <c r="G805" s="597"/>
      <c r="H805" s="640" t="s">
        <v>12</v>
      </c>
      <c r="I805" s="611"/>
      <c r="J805" s="611"/>
      <c r="K805" s="93"/>
      <c r="L805" s="641">
        <f t="shared" ref="L805:N805" si="327">L806+L807</f>
        <v>0</v>
      </c>
      <c r="M805" s="641">
        <f t="shared" si="327"/>
        <v>0</v>
      </c>
      <c r="N805" s="641">
        <f t="shared" si="327"/>
        <v>0</v>
      </c>
      <c r="O805" s="641">
        <f t="shared" ref="O805:O810" si="328">IF(L805&gt;0,N805*100/L805,0)</f>
        <v>0</v>
      </c>
      <c r="P805" s="641">
        <f t="shared" ref="P805:P810" si="329">IF(M805&gt;0,N805*100/M805,0)</f>
        <v>0</v>
      </c>
      <c r="Q805" s="598"/>
      <c r="R805" s="598"/>
      <c r="S805" s="598"/>
      <c r="T805" s="598"/>
      <c r="U805" s="598"/>
      <c r="V805" s="598"/>
      <c r="W805" s="598"/>
      <c r="X805" s="598"/>
      <c r="Y805" s="598"/>
      <c r="Z805" s="598"/>
    </row>
    <row r="806" spans="1:26" ht="18.75" hidden="1">
      <c r="A806" s="593"/>
      <c r="B806" s="753"/>
      <c r="C806" s="753"/>
      <c r="D806" s="610"/>
      <c r="E806" s="753" t="s">
        <v>184</v>
      </c>
      <c r="F806" s="753"/>
      <c r="G806" s="597"/>
      <c r="H806" s="165" t="s">
        <v>12</v>
      </c>
      <c r="I806" s="611"/>
      <c r="J806" s="611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598"/>
      <c r="R806" s="598"/>
      <c r="S806" s="598"/>
      <c r="T806" s="598"/>
      <c r="U806" s="598"/>
      <c r="V806" s="598"/>
      <c r="W806" s="598"/>
      <c r="X806" s="598"/>
      <c r="Y806" s="598"/>
      <c r="Z806" s="598"/>
    </row>
    <row r="807" spans="1:26" ht="18.75" hidden="1">
      <c r="A807" s="593"/>
      <c r="B807" s="753"/>
      <c r="C807" s="753"/>
      <c r="D807" s="610"/>
      <c r="E807" s="753" t="s">
        <v>185</v>
      </c>
      <c r="F807" s="753"/>
      <c r="G807" s="597"/>
      <c r="H807" s="165" t="s">
        <v>12</v>
      </c>
      <c r="I807" s="611"/>
      <c r="J807" s="611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598"/>
      <c r="R807" s="598"/>
      <c r="S807" s="598"/>
      <c r="T807" s="598"/>
      <c r="U807" s="598"/>
      <c r="V807" s="598"/>
      <c r="W807" s="598"/>
      <c r="X807" s="598"/>
      <c r="Y807" s="598"/>
      <c r="Z807" s="598"/>
    </row>
    <row r="808" spans="1:26" ht="19.5" hidden="1">
      <c r="A808" s="593"/>
      <c r="B808" s="601"/>
      <c r="C808" s="753"/>
      <c r="D808" s="910" t="s">
        <v>20</v>
      </c>
      <c r="E808" s="888"/>
      <c r="F808" s="888"/>
      <c r="G808" s="597"/>
      <c r="H808" s="640" t="s">
        <v>12</v>
      </c>
      <c r="I808" s="166"/>
      <c r="J808" s="166"/>
      <c r="K808" s="167"/>
      <c r="L808" s="641">
        <f t="shared" ref="L808:N808" si="331">L809+L810</f>
        <v>0</v>
      </c>
      <c r="M808" s="641">
        <f t="shared" si="331"/>
        <v>0</v>
      </c>
      <c r="N808" s="641">
        <f t="shared" si="331"/>
        <v>0</v>
      </c>
      <c r="O808" s="641">
        <f t="shared" si="328"/>
        <v>0</v>
      </c>
      <c r="P808" s="641">
        <f t="shared" si="329"/>
        <v>0</v>
      </c>
      <c r="Q808" s="598"/>
      <c r="R808" s="598"/>
      <c r="S808" s="598"/>
      <c r="T808" s="598"/>
      <c r="U808" s="598"/>
      <c r="V808" s="598"/>
      <c r="W808" s="598"/>
      <c r="X808" s="598"/>
      <c r="Y808" s="598"/>
      <c r="Z808" s="598"/>
    </row>
    <row r="809" spans="1:26" ht="18.75" hidden="1">
      <c r="A809" s="593"/>
      <c r="B809" s="753"/>
      <c r="C809" s="753"/>
      <c r="D809" s="610"/>
      <c r="E809" s="753" t="s">
        <v>184</v>
      </c>
      <c r="F809" s="753"/>
      <c r="G809" s="597"/>
      <c r="H809" s="165" t="s">
        <v>12</v>
      </c>
      <c r="I809" s="611"/>
      <c r="J809" s="611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598"/>
      <c r="R809" s="598"/>
      <c r="S809" s="598"/>
      <c r="T809" s="598"/>
      <c r="U809" s="598"/>
      <c r="V809" s="598"/>
      <c r="W809" s="598"/>
      <c r="X809" s="598"/>
      <c r="Y809" s="598"/>
      <c r="Z809" s="598"/>
    </row>
    <row r="810" spans="1:26" ht="18.75" hidden="1">
      <c r="A810" s="593"/>
      <c r="B810" s="753"/>
      <c r="C810" s="753"/>
      <c r="D810" s="610"/>
      <c r="E810" s="753" t="s">
        <v>185</v>
      </c>
      <c r="F810" s="753"/>
      <c r="G810" s="597"/>
      <c r="H810" s="165" t="s">
        <v>12</v>
      </c>
      <c r="I810" s="611"/>
      <c r="J810" s="611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598"/>
      <c r="R810" s="598"/>
      <c r="S810" s="598"/>
      <c r="T810" s="598"/>
      <c r="U810" s="598"/>
      <c r="V810" s="598"/>
      <c r="W810" s="598"/>
      <c r="X810" s="598"/>
      <c r="Y810" s="598"/>
      <c r="Z810" s="598"/>
    </row>
    <row r="811" spans="1:26" ht="18.75" hidden="1">
      <c r="A811" s="643"/>
      <c r="B811" s="601"/>
      <c r="C811" s="753"/>
      <c r="D811" s="601"/>
      <c r="E811" s="753"/>
      <c r="F811" s="753" t="s">
        <v>186</v>
      </c>
      <c r="G811" s="597"/>
      <c r="H811" s="165" t="s">
        <v>12</v>
      </c>
      <c r="I811" s="611"/>
      <c r="J811" s="611"/>
      <c r="K811" s="93"/>
      <c r="L811" s="93"/>
      <c r="M811" s="93"/>
      <c r="N811" s="93"/>
      <c r="O811" s="93"/>
      <c r="P811" s="93"/>
      <c r="Q811" s="598"/>
      <c r="R811" s="598"/>
      <c r="S811" s="598"/>
      <c r="T811" s="598"/>
      <c r="U811" s="598"/>
      <c r="V811" s="598"/>
      <c r="W811" s="598"/>
      <c r="X811" s="598"/>
      <c r="Y811" s="598"/>
      <c r="Z811" s="598"/>
    </row>
    <row r="812" spans="1:26" ht="18.75" hidden="1">
      <c r="A812" s="643"/>
      <c r="B812" s="601"/>
      <c r="C812" s="753"/>
      <c r="D812" s="601"/>
      <c r="E812" s="753"/>
      <c r="F812" s="753" t="s">
        <v>187</v>
      </c>
      <c r="G812" s="597"/>
      <c r="H812" s="165" t="s">
        <v>12</v>
      </c>
      <c r="I812" s="611"/>
      <c r="J812" s="611"/>
      <c r="K812" s="93"/>
      <c r="L812" s="93"/>
      <c r="M812" s="93"/>
      <c r="N812" s="93"/>
      <c r="O812" s="93"/>
      <c r="P812" s="93"/>
      <c r="Q812" s="598"/>
      <c r="R812" s="598"/>
      <c r="S812" s="598"/>
      <c r="T812" s="598"/>
      <c r="U812" s="598"/>
      <c r="V812" s="598"/>
      <c r="W812" s="598"/>
      <c r="X812" s="598"/>
      <c r="Y812" s="598"/>
      <c r="Z812" s="598"/>
    </row>
    <row r="813" spans="1:26" ht="18.75" hidden="1">
      <c r="A813" s="643"/>
      <c r="B813" s="601"/>
      <c r="C813" s="753"/>
      <c r="D813" s="601"/>
      <c r="E813" s="753"/>
      <c r="F813" s="753" t="s">
        <v>188</v>
      </c>
      <c r="G813" s="597"/>
      <c r="H813" s="165" t="s">
        <v>12</v>
      </c>
      <c r="I813" s="611"/>
      <c r="J813" s="611"/>
      <c r="K813" s="93"/>
      <c r="L813" s="93"/>
      <c r="M813" s="93"/>
      <c r="N813" s="93"/>
      <c r="O813" s="93"/>
      <c r="P813" s="93"/>
      <c r="Q813" s="598"/>
      <c r="R813" s="598"/>
      <c r="S813" s="598"/>
      <c r="T813" s="598"/>
      <c r="U813" s="598"/>
      <c r="V813" s="598"/>
      <c r="W813" s="598"/>
      <c r="X813" s="598"/>
      <c r="Y813" s="598"/>
      <c r="Z813" s="598"/>
    </row>
    <row r="814" spans="1:26" ht="18.75" hidden="1">
      <c r="A814" s="643"/>
      <c r="B814" s="601"/>
      <c r="C814" s="753"/>
      <c r="D814" s="601"/>
      <c r="E814" s="753"/>
      <c r="F814" s="753" t="s">
        <v>189</v>
      </c>
      <c r="G814" s="597"/>
      <c r="H814" s="165" t="s">
        <v>12</v>
      </c>
      <c r="I814" s="611"/>
      <c r="J814" s="611"/>
      <c r="K814" s="93"/>
      <c r="L814" s="93"/>
      <c r="M814" s="93"/>
      <c r="N814" s="93"/>
      <c r="O814" s="93"/>
      <c r="P814" s="93"/>
      <c r="Q814" s="598"/>
      <c r="R814" s="598"/>
      <c r="S814" s="598"/>
      <c r="T814" s="598"/>
      <c r="U814" s="598"/>
      <c r="V814" s="598"/>
      <c r="W814" s="598"/>
      <c r="X814" s="598"/>
      <c r="Y814" s="598"/>
      <c r="Z814" s="598"/>
    </row>
    <row r="815" spans="1:26" ht="19.5" hidden="1">
      <c r="A815" s="593"/>
      <c r="B815" s="601"/>
      <c r="C815" s="753"/>
      <c r="D815" s="910" t="s">
        <v>21</v>
      </c>
      <c r="E815" s="888"/>
      <c r="F815" s="888"/>
      <c r="G815" s="597"/>
      <c r="H815" s="777" t="s">
        <v>12</v>
      </c>
      <c r="I815" s="166"/>
      <c r="J815" s="166"/>
      <c r="K815" s="167"/>
      <c r="L815" s="641">
        <f t="shared" ref="L815:N815" si="332">L816+L817</f>
        <v>0</v>
      </c>
      <c r="M815" s="641">
        <f t="shared" si="332"/>
        <v>0</v>
      </c>
      <c r="N815" s="641">
        <f t="shared" si="332"/>
        <v>0</v>
      </c>
      <c r="O815" s="641">
        <f t="shared" ref="O815:O817" si="333">IF(L815&gt;0,N815*100/L815,0)</f>
        <v>0</v>
      </c>
      <c r="P815" s="641">
        <f t="shared" ref="P815:P817" si="334">IF(M815&gt;0,N815*100/M815,0)</f>
        <v>0</v>
      </c>
      <c r="Q815" s="598"/>
      <c r="R815" s="598"/>
      <c r="S815" s="598"/>
      <c r="T815" s="598"/>
      <c r="U815" s="598"/>
      <c r="V815" s="598"/>
      <c r="W815" s="598"/>
      <c r="X815" s="598"/>
      <c r="Y815" s="598"/>
      <c r="Z815" s="598"/>
    </row>
    <row r="816" spans="1:26" ht="18.75" hidden="1">
      <c r="A816" s="593"/>
      <c r="B816" s="601"/>
      <c r="C816" s="753"/>
      <c r="D816" s="601"/>
      <c r="E816" s="753" t="s">
        <v>18</v>
      </c>
      <c r="F816" s="753"/>
      <c r="G816" s="597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598"/>
      <c r="R816" s="598"/>
      <c r="S816" s="598"/>
      <c r="T816" s="598"/>
      <c r="U816" s="598"/>
      <c r="V816" s="598"/>
      <c r="W816" s="598"/>
      <c r="X816" s="598"/>
      <c r="Y816" s="598"/>
      <c r="Z816" s="598"/>
    </row>
    <row r="817" spans="1:26" ht="18.75" hidden="1">
      <c r="A817" s="593"/>
      <c r="B817" s="601"/>
      <c r="C817" s="753"/>
      <c r="D817" s="601"/>
      <c r="E817" s="753" t="s">
        <v>19</v>
      </c>
      <c r="F817" s="753"/>
      <c r="G817" s="597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598"/>
      <c r="R817" s="598"/>
      <c r="S817" s="598"/>
      <c r="T817" s="598"/>
      <c r="U817" s="598"/>
      <c r="V817" s="598"/>
      <c r="W817" s="598"/>
      <c r="X817" s="598"/>
      <c r="Y817" s="598"/>
      <c r="Z817" s="598"/>
    </row>
    <row r="818" spans="1:26" ht="19.5" hidden="1">
      <c r="A818" s="608"/>
      <c r="B818" s="610"/>
      <c r="C818" s="753" t="s">
        <v>16</v>
      </c>
      <c r="D818" s="871" t="s">
        <v>38</v>
      </c>
      <c r="E818" s="645"/>
      <c r="F818" s="645"/>
      <c r="G818" s="646"/>
      <c r="H818" s="366"/>
      <c r="I818" s="166"/>
      <c r="J818" s="166"/>
      <c r="K818" s="167"/>
      <c r="L818" s="167"/>
      <c r="M818" s="167"/>
      <c r="N818" s="167"/>
      <c r="O818" s="167"/>
      <c r="P818" s="167"/>
      <c r="Q818" s="598"/>
      <c r="R818" s="598"/>
      <c r="S818" s="598"/>
      <c r="T818" s="598"/>
      <c r="U818" s="598"/>
      <c r="V818" s="598"/>
      <c r="W818" s="598"/>
      <c r="X818" s="598"/>
      <c r="Y818" s="598"/>
      <c r="Z818" s="598"/>
    </row>
    <row r="819" spans="1:26" ht="19.5" hidden="1" thickBot="1">
      <c r="A819" s="821"/>
      <c r="B819" s="822"/>
      <c r="C819" s="824"/>
      <c r="D819" s="822"/>
      <c r="E819" s="824" t="s">
        <v>323</v>
      </c>
      <c r="F819" s="824"/>
      <c r="G819" s="825"/>
      <c r="H819" s="826" t="s">
        <v>46</v>
      </c>
      <c r="I819" s="827"/>
      <c r="J819" s="827"/>
      <c r="K819" s="828"/>
      <c r="L819" s="828"/>
      <c r="M819" s="828"/>
      <c r="N819" s="828"/>
      <c r="O819" s="828"/>
      <c r="P819" s="828"/>
      <c r="Q819" s="598"/>
      <c r="R819" s="598"/>
      <c r="S819" s="598"/>
      <c r="T819" s="598"/>
      <c r="U819" s="598"/>
      <c r="V819" s="598"/>
      <c r="W819" s="598"/>
      <c r="X819" s="598"/>
      <c r="Y819" s="598"/>
      <c r="Z819" s="598"/>
    </row>
    <row r="820" spans="1:26" ht="19.5">
      <c r="A820" s="872" t="s">
        <v>337</v>
      </c>
      <c r="B820" s="873"/>
      <c r="C820" s="873"/>
      <c r="D820" s="874"/>
      <c r="E820" s="873"/>
      <c r="F820" s="873"/>
      <c r="G820" s="875"/>
      <c r="H820" s="876" t="str">
        <f ca="1">IFERROR(__xludf.DUMMYFUNCTION("IMPORTRANGE(""https://docs.google.com/spreadsheets/d/1RCyyhEJggpv17xgUrW2PS9v7yLqUjmy4YI2wzp0s_Mw/edit#gid=0"",""Sheet1!b2"")"),"(ข้อมูล ณ วันที่ 31 ม.ค. 66)")</f>
        <v>(ข้อมูล ณ วันที่ 31 ม.ค. 66)</v>
      </c>
      <c r="I820" s="877"/>
      <c r="J820" s="877"/>
      <c r="K820" s="878"/>
      <c r="L820" s="878"/>
      <c r="M820" s="878"/>
      <c r="N820" s="878"/>
      <c r="O820" s="878"/>
      <c r="P820" s="878"/>
      <c r="Q820" s="572"/>
      <c r="R820" s="572"/>
      <c r="S820" s="572"/>
      <c r="T820" s="572"/>
      <c r="U820" s="572"/>
      <c r="V820" s="572"/>
      <c r="W820" s="572"/>
      <c r="X820" s="572"/>
      <c r="Y820" s="572"/>
      <c r="Z820" s="572"/>
    </row>
    <row r="821" spans="1:26" ht="18.75">
      <c r="A821" s="738"/>
      <c r="B821" s="757" t="s">
        <v>325</v>
      </c>
      <c r="C821" s="757"/>
      <c r="D821" s="569"/>
      <c r="E821" s="757"/>
      <c r="F821" s="757"/>
      <c r="G821" s="189"/>
      <c r="H821" s="617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IFERROR(__xludf.DUMMYFUNCTION("IMPORTRANGE(""https://docs.google.com/spreadsheets/d/19vJNZY_5yjcGF2XGBMNZRCAIB0Kwfpjp8YEOfu-bneM/edit?usp=sharing"",""งานกองทุน!F39"")"),2887418.02)</f>
        <v>2887418.02</v>
      </c>
      <c r="K821" s="497">
        <f t="shared" ref="K821:K828" ca="1" si="335">IF(I821&gt;0,J821*100/I821,0)</f>
        <v>19.228073336087942</v>
      </c>
      <c r="L821" s="497"/>
      <c r="M821" s="497"/>
      <c r="N821" s="497"/>
      <c r="O821" s="497"/>
      <c r="P821" s="497"/>
      <c r="Q821" s="572"/>
      <c r="R821" s="572"/>
      <c r="S821" s="572"/>
      <c r="T821" s="572"/>
      <c r="U821" s="572"/>
      <c r="V821" s="572"/>
      <c r="W821" s="572"/>
      <c r="X821" s="572"/>
      <c r="Y821" s="572"/>
      <c r="Z821" s="572"/>
    </row>
    <row r="822" spans="1:26" ht="18.75">
      <c r="A822" s="738"/>
      <c r="B822" s="757"/>
      <c r="C822" s="757"/>
      <c r="D822" s="569"/>
      <c r="E822" s="757"/>
      <c r="F822" s="757"/>
      <c r="G822" s="189"/>
      <c r="H822" s="617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IFERROR(__xludf.DUMMYFUNCTION("IMPORTRANGE(""https://docs.google.com/spreadsheets/d/19vJNZY_5yjcGF2XGBMNZRCAIB0Kwfpjp8YEOfu-bneM/edit?usp=sharing"",""งานกองทุน!E39"")"),268)</f>
        <v>268</v>
      </c>
      <c r="K822" s="497">
        <f t="shared" ca="1" si="335"/>
        <v>17.77188328912467</v>
      </c>
      <c r="L822" s="497"/>
      <c r="M822" s="497"/>
      <c r="N822" s="497"/>
      <c r="O822" s="497"/>
      <c r="P822" s="497"/>
      <c r="Q822" s="572"/>
      <c r="R822" s="572"/>
      <c r="S822" s="572"/>
      <c r="T822" s="572"/>
      <c r="U822" s="572"/>
      <c r="V822" s="572"/>
      <c r="W822" s="572"/>
      <c r="X822" s="572"/>
      <c r="Y822" s="572"/>
      <c r="Z822" s="572"/>
    </row>
    <row r="823" spans="1:26" ht="18.75">
      <c r="A823" s="738"/>
      <c r="B823" s="757" t="s">
        <v>326</v>
      </c>
      <c r="C823" s="757"/>
      <c r="D823" s="569"/>
      <c r="E823" s="757"/>
      <c r="F823" s="757"/>
      <c r="G823" s="189"/>
      <c r="H823" s="617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IFERROR(__xludf.DUMMYFUNCTION("IMPORTRANGE(""https://docs.google.com/spreadsheets/d/19vJNZY_5yjcGF2XGBMNZRCAIB0Kwfpjp8YEOfu-bneM/edit?usp=sharing"",""งานกองทุน!K39"")"),846430.69)</f>
        <v>846430.69</v>
      </c>
      <c r="K823" s="497">
        <f t="shared" ca="1" si="335"/>
        <v>10.653969969659704</v>
      </c>
      <c r="L823" s="497"/>
      <c r="M823" s="497"/>
      <c r="N823" s="497"/>
      <c r="O823" s="497"/>
      <c r="P823" s="497"/>
      <c r="Q823" s="572"/>
      <c r="R823" s="572"/>
      <c r="S823" s="572"/>
      <c r="T823" s="572"/>
      <c r="U823" s="572"/>
      <c r="V823" s="572"/>
      <c r="W823" s="572"/>
      <c r="X823" s="572"/>
      <c r="Y823" s="572"/>
      <c r="Z823" s="572"/>
    </row>
    <row r="824" spans="1:26" ht="18.75">
      <c r="A824" s="738"/>
      <c r="B824" s="757"/>
      <c r="C824" s="757"/>
      <c r="D824" s="569"/>
      <c r="E824" s="757"/>
      <c r="F824" s="757"/>
      <c r="G824" s="189"/>
      <c r="H824" s="617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IFERROR(__xludf.DUMMYFUNCTION("IMPORTRANGE(""https://docs.google.com/spreadsheets/d/19vJNZY_5yjcGF2XGBMNZRCAIB0Kwfpjp8YEOfu-bneM/edit?usp=sharing"",""งานกองทุน!J39"")"),91)</f>
        <v>91</v>
      </c>
      <c r="K824" s="497">
        <f t="shared" ca="1" si="335"/>
        <v>25.633802816901408</v>
      </c>
      <c r="L824" s="497"/>
      <c r="M824" s="497"/>
      <c r="N824" s="497"/>
      <c r="O824" s="497"/>
      <c r="P824" s="497"/>
      <c r="Q824" s="572"/>
      <c r="R824" s="572"/>
      <c r="S824" s="572"/>
      <c r="T824" s="572"/>
      <c r="U824" s="572"/>
      <c r="V824" s="572"/>
      <c r="W824" s="572"/>
      <c r="X824" s="572"/>
      <c r="Y824" s="572"/>
      <c r="Z824" s="572"/>
    </row>
    <row r="825" spans="1:26" ht="18.75">
      <c r="A825" s="738"/>
      <c r="B825" s="757" t="s">
        <v>327</v>
      </c>
      <c r="C825" s="757"/>
      <c r="D825" s="569"/>
      <c r="E825" s="757"/>
      <c r="F825" s="757"/>
      <c r="G825" s="189"/>
      <c r="H825" s="617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2"/>
      <c r="R825" s="572"/>
      <c r="S825" s="572"/>
      <c r="T825" s="572"/>
      <c r="U825" s="572"/>
      <c r="V825" s="572"/>
      <c r="W825" s="572"/>
      <c r="X825" s="572"/>
      <c r="Y825" s="572"/>
      <c r="Z825" s="572"/>
    </row>
    <row r="826" spans="1:26" ht="18.75">
      <c r="A826" s="738"/>
      <c r="B826" s="757"/>
      <c r="C826" s="757"/>
      <c r="D826" s="569"/>
      <c r="E826" s="757"/>
      <c r="F826" s="757"/>
      <c r="G826" s="189"/>
      <c r="H826" s="617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2"/>
      <c r="R826" s="572"/>
      <c r="S826" s="572"/>
      <c r="T826" s="572"/>
      <c r="U826" s="572"/>
      <c r="V826" s="572"/>
      <c r="W826" s="572"/>
      <c r="X826" s="572"/>
      <c r="Y826" s="572"/>
      <c r="Z826" s="572"/>
    </row>
    <row r="827" spans="1:26" ht="18.75">
      <c r="A827" s="738"/>
      <c r="B827" s="757" t="s">
        <v>328</v>
      </c>
      <c r="C827" s="757"/>
      <c r="D827" s="569"/>
      <c r="E827" s="757"/>
      <c r="F827" s="757"/>
      <c r="G827" s="189"/>
      <c r="H827" s="617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IFERROR(__xludf.DUMMYFUNCTION("IMPORTRANGE(""https://docs.google.com/spreadsheets/d/19vJNZY_5yjcGF2XGBMNZRCAIB0Kwfpjp8YEOfu-bneM/edit?usp=sharing"",""งานกองทุน!U39"")"),2880000)</f>
        <v>2880000</v>
      </c>
      <c r="K827" s="497">
        <f t="shared" ca="1" si="335"/>
        <v>19.2</v>
      </c>
      <c r="L827" s="497"/>
      <c r="M827" s="497"/>
      <c r="N827" s="497"/>
      <c r="O827" s="497"/>
      <c r="P827" s="497"/>
      <c r="Q827" s="572"/>
      <c r="R827" s="572"/>
      <c r="S827" s="572"/>
      <c r="T827" s="572"/>
      <c r="U827" s="572"/>
      <c r="V827" s="572"/>
      <c r="W827" s="572"/>
      <c r="X827" s="572"/>
      <c r="Y827" s="572"/>
      <c r="Z827" s="572"/>
    </row>
    <row r="828" spans="1:26" ht="18.75">
      <c r="A828" s="741"/>
      <c r="B828" s="743"/>
      <c r="C828" s="743"/>
      <c r="D828" s="742"/>
      <c r="E828" s="743"/>
      <c r="F828" s="743"/>
      <c r="G828" s="835"/>
      <c r="H828" s="836" t="s">
        <v>35</v>
      </c>
      <c r="I828" s="500">
        <f ca="1">IFERROR(__xludf.DUMMYFUNCTION("IMPORTRANGE(""https://docs.google.com/spreadsheets/d/19vJNZY_5yjcGF2XGBMNZRCAIB0Kwfpjp8YEOfu-bneM/edit?usp=sharing"",""งานกองทุน!R39"")"),410)</f>
        <v>410</v>
      </c>
      <c r="J828" s="500">
        <f ca="1">IFERROR(__xludf.DUMMYFUNCTION("IMPORTRANGE(""https://docs.google.com/spreadsheets/d/19vJNZY_5yjcGF2XGBMNZRCAIB0Kwfpjp8YEOfu-bneM/edit?usp=sharing"",""งานกองทุน!T39"")"),84)</f>
        <v>84</v>
      </c>
      <c r="K828" s="501">
        <f t="shared" ca="1" si="335"/>
        <v>20.487804878048781</v>
      </c>
      <c r="L828" s="501"/>
      <c r="M828" s="501"/>
      <c r="N828" s="501"/>
      <c r="O828" s="501"/>
      <c r="P828" s="501"/>
      <c r="Q828" s="572"/>
      <c r="R828" s="572"/>
      <c r="S828" s="572"/>
      <c r="T828" s="572"/>
      <c r="U828" s="572"/>
      <c r="V828" s="572"/>
      <c r="W828" s="572"/>
      <c r="X828" s="572"/>
      <c r="Y828" s="572"/>
      <c r="Z828" s="572"/>
    </row>
  </sheetData>
  <mergeCells count="30">
    <mergeCell ref="A1:P1"/>
    <mergeCell ref="A2:P2"/>
    <mergeCell ref="A3:P3"/>
    <mergeCell ref="A5:G6"/>
    <mergeCell ref="H5:H6"/>
    <mergeCell ref="I5:K5"/>
    <mergeCell ref="L5:M5"/>
    <mergeCell ref="N5:P5"/>
    <mergeCell ref="D544:F544"/>
    <mergeCell ref="A7:G7"/>
    <mergeCell ref="A17:G17"/>
    <mergeCell ref="A27:G27"/>
    <mergeCell ref="B40:G40"/>
    <mergeCell ref="A50:G50"/>
    <mergeCell ref="B51:G51"/>
    <mergeCell ref="D419:F419"/>
    <mergeCell ref="D444:F444"/>
    <mergeCell ref="D467:F467"/>
    <mergeCell ref="D502:F502"/>
    <mergeCell ref="D523:F523"/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</mergeCells>
  <printOptions horizontalCentered="1"/>
  <pageMargins left="0.23622047244094491" right="0.23622047244094491" top="0.74803149606299213" bottom="0.74803149606299213" header="0" footer="0"/>
  <pageSetup paperSize="9" scale="42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2023-02-23T09:25:39Z</dcterms:modified>
</cp:coreProperties>
</file>